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litschka/Documents/_/Training/2018/DEZ.DE/second_try/DeineEntscheidungZaehlt/"/>
    </mc:Choice>
  </mc:AlternateContent>
  <xr:revisionPtr revIDLastSave="0" documentId="13_ncr:1_{9028A9FC-A0EC-2845-B9E9-868EB6B26186}" xr6:coauthVersionLast="45" xr6:coauthVersionMax="45" xr10:uidLastSave="{00000000-0000-0000-0000-000000000000}"/>
  <bookViews>
    <workbookView xWindow="6120" yWindow="1900" windowWidth="29100" windowHeight="19120" xr2:uid="{CDA5F981-DF14-DA47-9A50-0250F90BA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O34" i="1"/>
  <c r="K34" i="1" s="1"/>
  <c r="K41" i="1"/>
  <c r="K44" i="1"/>
  <c r="M40" i="1"/>
  <c r="M44" i="1"/>
  <c r="M42" i="1"/>
  <c r="M41" i="1"/>
  <c r="M25" i="1"/>
  <c r="M24" i="1"/>
  <c r="M23" i="1"/>
  <c r="M22" i="1"/>
  <c r="M21" i="1"/>
  <c r="K25" i="1"/>
  <c r="K22" i="1"/>
  <c r="K23" i="1"/>
  <c r="K24" i="1"/>
  <c r="K21" i="1"/>
  <c r="M32" i="1" l="1"/>
  <c r="M33" i="1"/>
  <c r="M31" i="1"/>
  <c r="M30" i="1"/>
  <c r="M34" i="1"/>
  <c r="K31" i="1"/>
  <c r="B16" i="1"/>
  <c r="F5" i="1"/>
  <c r="F4" i="1"/>
  <c r="B13" i="1"/>
  <c r="M49" i="1"/>
  <c r="L49" i="1"/>
  <c r="M11" i="1"/>
  <c r="H11" i="1" s="1"/>
  <c r="J15" i="1"/>
  <c r="J13" i="1"/>
  <c r="K15" i="1"/>
  <c r="K14" i="1"/>
  <c r="J14" i="1"/>
  <c r="K13" i="1"/>
  <c r="Q6" i="1"/>
  <c r="H14" i="1" s="1"/>
  <c r="H15" i="1"/>
  <c r="Q5" i="1"/>
  <c r="H13" i="1" s="1"/>
  <c r="J16" i="1"/>
  <c r="I13" i="1" l="1"/>
  <c r="C13" i="1"/>
  <c r="N49" i="1"/>
  <c r="D13" i="1"/>
  <c r="J31" i="1" s="1"/>
  <c r="C16" i="1"/>
  <c r="D16" i="1" s="1"/>
  <c r="J34" i="1" s="1"/>
  <c r="I11" i="1"/>
  <c r="F11" i="1" s="1"/>
  <c r="I12" i="1"/>
  <c r="E12" i="1" s="1"/>
  <c r="D18" i="1" l="1"/>
  <c r="J25" i="1"/>
  <c r="J44" i="1"/>
  <c r="J22" i="1"/>
  <c r="J41" i="1"/>
  <c r="D19" i="1" s="1"/>
  <c r="E13" i="1"/>
  <c r="F13" i="1" s="1"/>
  <c r="I14" i="1"/>
  <c r="E14" i="1" s="1"/>
  <c r="F14" i="1" s="1"/>
  <c r="L32" i="1" s="1"/>
  <c r="I15" i="1"/>
  <c r="E15" i="1" s="1"/>
  <c r="F15" i="1" s="1"/>
  <c r="L33" i="1" s="1"/>
  <c r="I16" i="1"/>
  <c r="E16" i="1" s="1"/>
  <c r="F16" i="1" s="1"/>
  <c r="F12" i="1"/>
  <c r="L30" i="1" s="1"/>
  <c r="L44" i="1" l="1"/>
  <c r="L34" i="1"/>
  <c r="L41" i="1"/>
  <c r="L31" i="1"/>
  <c r="F18" i="1" s="1"/>
  <c r="D20" i="1"/>
  <c r="L21" i="1"/>
  <c r="L40" i="1"/>
  <c r="L22" i="1"/>
  <c r="L25" i="1"/>
  <c r="L24" i="1"/>
  <c r="L43" i="1"/>
  <c r="L23" i="1"/>
  <c r="L42" i="1"/>
  <c r="F20" i="1" l="1"/>
  <c r="F19" i="1"/>
</calcChain>
</file>

<file path=xl/sharedStrings.xml><?xml version="1.0" encoding="utf-8"?>
<sst xmlns="http://schemas.openxmlformats.org/spreadsheetml/2006/main" count="119" uniqueCount="85">
  <si>
    <t>https://www.skopos-group.de/news/13-millionen-deutsche-leben-vegan.html</t>
  </si>
  <si>
    <t>Veganer</t>
  </si>
  <si>
    <t>DE komplett</t>
  </si>
  <si>
    <t>https://proveg.com/de/ernaehrung/anzahl-vegan-vegetarischer-menschen/</t>
  </si>
  <si>
    <t>Vegetarier + Veganer</t>
  </si>
  <si>
    <t>https://www.destatis.de/DE/Themen/Gesellschaft-Umwelt/Bevoelkerung/Bevoelkerungsstand/_inhalt.html</t>
  </si>
  <si>
    <t>Fische</t>
  </si>
  <si>
    <t>Schweine</t>
  </si>
  <si>
    <t>Rinder</t>
  </si>
  <si>
    <t>Hühner</t>
  </si>
  <si>
    <t>Truthähner</t>
  </si>
  <si>
    <t>Enten</t>
  </si>
  <si>
    <t>VEGETARISCH</t>
  </si>
  <si>
    <t>KONVENTIONELL</t>
  </si>
  <si>
    <t>ohne Faktor</t>
  </si>
  <si>
    <t>ohne Faktoren</t>
  </si>
  <si>
    <t>https://www.bvdf.de/aktuell/geschaeftsbericht-2018-19</t>
  </si>
  <si>
    <t>Schlachtmasse</t>
  </si>
  <si>
    <t>Müllkoeff.</t>
  </si>
  <si>
    <t>Krankheitskoeff.</t>
  </si>
  <si>
    <t>kg ohne Veg+</t>
  </si>
  <si>
    <t>Entenanteil</t>
  </si>
  <si>
    <t>Hühneranteil</t>
  </si>
  <si>
    <t>Truthananteil</t>
  </si>
  <si>
    <t>mit Faktor</t>
  </si>
  <si>
    <t>Beifang</t>
  </si>
  <si>
    <t>DE Anteil</t>
  </si>
  <si>
    <t>kg / Fische</t>
  </si>
  <si>
    <t>Eier</t>
  </si>
  <si>
    <t>Lebensdauer</t>
  </si>
  <si>
    <t>Eierproduktion</t>
  </si>
  <si>
    <t>Küken</t>
  </si>
  <si>
    <t>Konsummilch</t>
  </si>
  <si>
    <t>Buttermilch</t>
  </si>
  <si>
    <t>Sauermilch</t>
  </si>
  <si>
    <t>Sahne</t>
  </si>
  <si>
    <t>Käse</t>
  </si>
  <si>
    <t>Butter</t>
  </si>
  <si>
    <t>https://milchindustrie.de/wp-content/uploads/2018/11/ProkopfDeutschland_Mopro_2010-2018x_Homepage.pdf</t>
  </si>
  <si>
    <t>Milchleistung</t>
  </si>
  <si>
    <t>Gesamtmilch</t>
  </si>
  <si>
    <t>Alter Milchküh</t>
  </si>
  <si>
    <t>https://www.dialog-milch.de/7-wie-alt-wird-eine-milchkuh/</t>
  </si>
  <si>
    <t>mit Vegetarierfaktor (15%)</t>
  </si>
  <si>
    <t>BERECHNUNG GÜLLE</t>
  </si>
  <si>
    <t>BERECHNUNG SOJA</t>
  </si>
  <si>
    <t>Quellen</t>
  </si>
  <si>
    <t>https://www.lfl.bayern.de/mam/cms07/iab/dateien/basisdaten_20190131_4b.pdf</t>
  </si>
  <si>
    <t>https://www.milch-thueringen.de/content/milchverarbeitung</t>
  </si>
  <si>
    <t>https://www.meine-milch.de/milkipedia/butter</t>
  </si>
  <si>
    <t>https://www.t-online.de/leben/essen-und-trinken/id_85587546/so-viele-eier-legt-eine-henne-pro-jahr.html</t>
  </si>
  <si>
    <t xml:space="preserve">https://www.ble.de/SharedDocs/Pressemitteilungen/DE/2017/170317_Eier.html  </t>
  </si>
  <si>
    <t xml:space="preserve">https://www.huehner-haltung.de/haltung/produktive-huhn/#Was_kommt_nach_dem_Ei_ Legeleistung </t>
  </si>
  <si>
    <t>BERECHNUNG ANTIBIOTIKA</t>
  </si>
  <si>
    <t>veg.</t>
  </si>
  <si>
    <t>omni.</t>
  </si>
  <si>
    <t>https://www.tagesschau.de/investigativ/ndr/antibiotika-landwirtschaft-101.html</t>
  </si>
  <si>
    <t>Gülle Gesamt m3</t>
  </si>
  <si>
    <t>Gülle pro Tier</t>
  </si>
  <si>
    <t>Gesamt t</t>
  </si>
  <si>
    <t>pro Tier</t>
  </si>
  <si>
    <t>Vegetarier-Faktor</t>
  </si>
  <si>
    <t>Fleischesser-Faktor</t>
  </si>
  <si>
    <t>Pro-Kopf-Werte ohne Veganer</t>
  </si>
  <si>
    <t>Pro-Kopf-Werte ohne Vegetarier und Veganer</t>
  </si>
  <si>
    <t>BERECHNUNG HÜHNER DURCH EIER</t>
  </si>
  <si>
    <t>BERECHNUNG RINDER DURCH MILCH</t>
  </si>
  <si>
    <t>BERECHNUNG DURCH SCHLACHTEN</t>
  </si>
  <si>
    <t>Soja (t)</t>
  </si>
  <si>
    <t>Gülle (Liter)</t>
  </si>
  <si>
    <t>https://milchindustrie.de/wp-content/uploads/2018/11/Milchkuhbestände-_Haltungen_DE-2000-2019_Homepage.pdf</t>
  </si>
  <si>
    <t>Antibiotika (kg)</t>
  </si>
  <si>
    <t>https://www.lgl.bayern.de/aus_fort_weiterbildung/veranstaltungen/kongresse_veranstaltungen/doc/2014_lare_symp_wallmann.pdf</t>
  </si>
  <si>
    <t>https://de.statista.com/statistik/daten/studie/659045/umfrage/nutztierbestand-in-deutschland/</t>
  </si>
  <si>
    <t>Gen-Soja-Import</t>
  </si>
  <si>
    <t>Tierbestand in Mio gesamt</t>
  </si>
  <si>
    <t>https://www.bmel-statistik.de/fileadmin/daten/DFT-0601010-2018.xlsx</t>
  </si>
  <si>
    <t>https://de.wikipedia.org/wiki/Beifang_(Fischerei)</t>
  </si>
  <si>
    <t>https://www.destatis.de/DE/Themen/Branchen-Unternehmen/Landwirtschaft-Forstwirtschaft-Fischerei/Tiere-Tierische-Erzeugung/Tabellen/gefluegelfleisch.html</t>
  </si>
  <si>
    <t>https://www.lfl.bayern.de/mam/cms07/publikationen/daten/informationen/fleisch-gefluegelwirtschaft-bayern-2018_lfl-information.pdf</t>
  </si>
  <si>
    <t xml:space="preserve">SCHWEINE </t>
  </si>
  <si>
    <t>https://de.statista.com/statistik/daten/studie/163421/umfrage/schweine---schlachtgewicht/</t>
  </si>
  <si>
    <t>https://www.destatis.de/DE/Presse/Pressemitteilungen/2019/02/PD19_043_413.html</t>
  </si>
  <si>
    <t>https://albert-schweitzer-stiftung.de/aktuell/deutsche-essen-uber-12-milliarden-tiere-pro-jahr https://www.destatis.de/DE/Themen/Gesellschaft-Umwelt/Bevoelkerung/Bevoelkerungsstand/_inhalt.html</t>
  </si>
  <si>
    <t>Umrechnung anhand Schlachtzahlen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</si>
</sst>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 indent="1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indent="1"/>
    </xf>
    <xf numFmtId="0" fontId="2" fillId="0" borderId="0" xfId="0" applyFont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right" wrapText="1" indent="1"/>
    </xf>
    <xf numFmtId="0" fontId="1" fillId="2" borderId="0" xfId="0" applyNumberFormat="1" applyFont="1" applyFill="1" applyAlignment="1">
      <alignment horizontal="right" vertical="center" indent="1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right" vertical="center" indent="1"/>
    </xf>
    <xf numFmtId="1" fontId="0" fillId="0" borderId="0" xfId="0" applyNumberFormat="1" applyFill="1" applyAlignment="1">
      <alignment horizontal="right" vertical="center" inden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 vertical="center"/>
    </xf>
    <xf numFmtId="0" fontId="2" fillId="3" borderId="0" xfId="0" applyFont="1" applyFill="1"/>
    <xf numFmtId="3" fontId="0" fillId="3" borderId="0" xfId="0" applyNumberFormat="1" applyFill="1" applyAlignment="1">
      <alignment horizontal="left" vertical="center"/>
    </xf>
    <xf numFmtId="10" fontId="0" fillId="3" borderId="0" xfId="0" applyNumberFormat="1" applyFill="1" applyAlignment="1">
      <alignment horizontal="left" vertical="center"/>
    </xf>
    <xf numFmtId="9" fontId="0" fillId="3" borderId="0" xfId="0" applyNumberForma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Font="1"/>
    <xf numFmtId="0" fontId="0" fillId="3" borderId="0" xfId="0" applyFill="1" applyAlignment="1">
      <alignment horizontal="right" indent="1"/>
    </xf>
    <xf numFmtId="0" fontId="0" fillId="3" borderId="0" xfId="0" applyFill="1" applyAlignment="1">
      <alignment horizontal="right" vertical="center" indent="1"/>
    </xf>
    <xf numFmtId="0" fontId="1" fillId="3" borderId="0" xfId="0" applyFont="1" applyFill="1" applyAlignment="1">
      <alignment horizontal="left" indent="1"/>
    </xf>
    <xf numFmtId="0" fontId="0" fillId="0" borderId="0" xfId="0" applyAlignment="1"/>
    <xf numFmtId="0" fontId="2" fillId="0" borderId="0" xfId="0" applyFont="1" applyFill="1"/>
    <xf numFmtId="0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57C7-84F7-484E-B60C-D117E7ACF059}">
  <dimension ref="A1:AE56"/>
  <sheetViews>
    <sheetView tabSelected="1" topLeftCell="H1" workbookViewId="0">
      <selection activeCell="O19" sqref="O19"/>
    </sheetView>
  </sheetViews>
  <sheetFormatPr baseColWidth="10" defaultRowHeight="16" x14ac:dyDescent="0.2"/>
  <cols>
    <col min="1" max="1" width="21.5" customWidth="1"/>
    <col min="2" max="3" width="16.5" customWidth="1"/>
    <col min="4" max="4" width="24.6640625" customWidth="1"/>
    <col min="5" max="6" width="20.5" customWidth="1"/>
    <col min="8" max="9" width="15.33203125" customWidth="1"/>
    <col min="10" max="10" width="17.6640625" customWidth="1"/>
    <col min="11" max="11" width="17.1640625" customWidth="1"/>
    <col min="12" max="12" width="15.83203125" customWidth="1"/>
    <col min="13" max="13" width="12.6640625" bestFit="1" customWidth="1"/>
    <col min="15" max="15" width="22.83203125" customWidth="1"/>
    <col min="16" max="16" width="15.5" style="5" customWidth="1"/>
    <col min="17" max="17" width="12.1640625" bestFit="1" customWidth="1"/>
  </cols>
  <sheetData>
    <row r="1" spans="1:31" x14ac:dyDescent="0.2">
      <c r="E1" t="s">
        <v>1</v>
      </c>
      <c r="F1" s="4">
        <v>1300000</v>
      </c>
      <c r="H1" t="s">
        <v>0</v>
      </c>
    </row>
    <row r="2" spans="1:31" x14ac:dyDescent="0.2">
      <c r="E2" t="s">
        <v>4</v>
      </c>
      <c r="F2" s="4">
        <v>8000000</v>
      </c>
      <c r="H2" t="s">
        <v>3</v>
      </c>
    </row>
    <row r="3" spans="1:31" x14ac:dyDescent="0.2">
      <c r="E3" t="s">
        <v>2</v>
      </c>
      <c r="F3" s="4">
        <v>83100000</v>
      </c>
      <c r="H3" t="s">
        <v>5</v>
      </c>
    </row>
    <row r="4" spans="1:31" x14ac:dyDescent="0.2">
      <c r="C4" s="9" t="s">
        <v>64</v>
      </c>
      <c r="E4" s="1" t="s">
        <v>62</v>
      </c>
      <c r="F4" s="8">
        <f>F2/F3+1</f>
        <v>1.0962695547533092</v>
      </c>
      <c r="P4" s="33" t="s">
        <v>84</v>
      </c>
    </row>
    <row r="5" spans="1:31" x14ac:dyDescent="0.2">
      <c r="C5" s="9" t="s">
        <v>63</v>
      </c>
      <c r="E5" s="1" t="s">
        <v>61</v>
      </c>
      <c r="F5" s="8">
        <f>F1/F3+1</f>
        <v>1.0156438026474128</v>
      </c>
      <c r="P5" s="1" t="s">
        <v>22</v>
      </c>
      <c r="Q5" s="1">
        <f>1021.8/1570.8</f>
        <v>0.65049656226126817</v>
      </c>
    </row>
    <row r="6" spans="1:31" x14ac:dyDescent="0.2">
      <c r="E6" s="1"/>
      <c r="F6" s="8"/>
      <c r="P6" s="1" t="s">
        <v>23</v>
      </c>
      <c r="Q6" s="1">
        <f>467.5/1570.8</f>
        <v>0.29761904761904762</v>
      </c>
    </row>
    <row r="7" spans="1:31" x14ac:dyDescent="0.2">
      <c r="E7" s="1"/>
      <c r="F7" s="8"/>
      <c r="P7" s="1" t="s">
        <v>21</v>
      </c>
      <c r="Q7" s="1">
        <f>36.8/1570.8</f>
        <v>2.3427552839317543E-2</v>
      </c>
    </row>
    <row r="8" spans="1:31" ht="17" x14ac:dyDescent="0.2">
      <c r="E8" s="7"/>
      <c r="H8" s="7"/>
      <c r="I8" s="7"/>
      <c r="J8" s="7" t="s">
        <v>80</v>
      </c>
      <c r="M8" s="7"/>
      <c r="P8" s="11"/>
      <c r="U8" s="7"/>
      <c r="V8" s="7"/>
      <c r="W8" s="7"/>
      <c r="X8" s="7"/>
      <c r="Y8" s="7"/>
      <c r="Z8" s="7"/>
      <c r="AA8" s="7"/>
      <c r="AC8" s="7"/>
      <c r="AE8" s="7"/>
    </row>
    <row r="9" spans="1:31" x14ac:dyDescent="0.2">
      <c r="B9" s="1" t="s">
        <v>12</v>
      </c>
      <c r="E9" s="1" t="s">
        <v>13</v>
      </c>
      <c r="H9" s="16" t="s">
        <v>67</v>
      </c>
      <c r="I9" s="17"/>
      <c r="J9" s="17"/>
      <c r="K9" s="17"/>
      <c r="L9" s="17"/>
      <c r="M9" s="17"/>
      <c r="N9" s="17"/>
    </row>
    <row r="10" spans="1:31" x14ac:dyDescent="0.2">
      <c r="B10" s="9" t="s">
        <v>14</v>
      </c>
      <c r="C10" s="9" t="s">
        <v>24</v>
      </c>
      <c r="D10" s="9" t="s">
        <v>43</v>
      </c>
      <c r="E10" s="9" t="s">
        <v>15</v>
      </c>
      <c r="F10" s="9" t="s">
        <v>24</v>
      </c>
      <c r="H10" s="19" t="s">
        <v>27</v>
      </c>
      <c r="I10" s="19" t="s">
        <v>20</v>
      </c>
      <c r="J10" s="19" t="s">
        <v>17</v>
      </c>
      <c r="K10" s="19" t="s">
        <v>18</v>
      </c>
      <c r="L10" s="19" t="s">
        <v>19</v>
      </c>
      <c r="M10" s="19" t="s">
        <v>25</v>
      </c>
      <c r="N10" s="19" t="s">
        <v>26</v>
      </c>
      <c r="P10" s="33" t="s">
        <v>46</v>
      </c>
    </row>
    <row r="11" spans="1:31" s="2" customFormat="1" ht="18" customHeight="1" x14ac:dyDescent="0.2">
      <c r="A11" s="2" t="s">
        <v>6</v>
      </c>
      <c r="B11" s="3">
        <v>0</v>
      </c>
      <c r="C11" s="3">
        <v>0</v>
      </c>
      <c r="D11" s="3"/>
      <c r="F11" s="2">
        <f>I11</f>
        <v>151.68212578204049</v>
      </c>
      <c r="H11" s="18">
        <f>(11100000000+M11*N11)/80233100</f>
        <v>138.3620708286231</v>
      </c>
      <c r="I11" s="18">
        <f>H11*$F$4</f>
        <v>151.68212578204049</v>
      </c>
      <c r="J11" s="18"/>
      <c r="K11" s="18"/>
      <c r="L11" s="18"/>
      <c r="M11" s="20">
        <f>(100000000+300000+100000+250000)*1.1</f>
        <v>110715000.00000001</v>
      </c>
      <c r="N11" s="21">
        <v>1.0999999999999999E-2</v>
      </c>
      <c r="P11" s="2" t="s">
        <v>77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s="2" customFormat="1" ht="18" customHeight="1" x14ac:dyDescent="0.2">
      <c r="A12" s="2" t="s">
        <v>7</v>
      </c>
      <c r="B12" s="3">
        <v>0</v>
      </c>
      <c r="C12" s="3">
        <v>0</v>
      </c>
      <c r="D12" s="3"/>
      <c r="E12" s="13">
        <f>I12/J12</f>
        <v>0.38791578059959503</v>
      </c>
      <c r="F12" s="10">
        <f>E12*(1+L12)*(1+K12)</f>
        <v>0.49342887292268489</v>
      </c>
      <c r="H12" s="18">
        <v>35.700000000000003</v>
      </c>
      <c r="I12" s="18">
        <f>H12*$F$4</f>
        <v>39.136823104693143</v>
      </c>
      <c r="J12" s="18">
        <v>100.89</v>
      </c>
      <c r="K12" s="22">
        <v>0.06</v>
      </c>
      <c r="L12" s="22">
        <v>0.2</v>
      </c>
      <c r="M12" s="18"/>
      <c r="N12" s="18"/>
      <c r="P12" s="2" t="s">
        <v>78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s="2" customFormat="1" ht="18" customHeight="1" x14ac:dyDescent="0.2">
      <c r="A13" s="2" t="s">
        <v>9</v>
      </c>
      <c r="B13" s="14">
        <f>H56/I56/J56*K56</f>
        <v>0.78595317725752512</v>
      </c>
      <c r="C13" s="14">
        <f>(L13+1)*(K13+1)*B13*F5</f>
        <v>0.91592070605811249</v>
      </c>
      <c r="D13" s="12">
        <f>C13*1.15</f>
        <v>1.0533088119668292</v>
      </c>
      <c r="E13" s="13">
        <f>I13/J13</f>
        <v>5.7397553303337405</v>
      </c>
      <c r="F13" s="10">
        <f>E13*(1+L13)*(1+K13)</f>
        <v>6.5858700996999371</v>
      </c>
      <c r="H13" s="18">
        <f>13.2*Q5</f>
        <v>8.5865546218487392</v>
      </c>
      <c r="I13" s="18">
        <f>H13*$F$4</f>
        <v>9.4131784121590876</v>
      </c>
      <c r="J13" s="18">
        <f>1020885.2/622492320*1000</f>
        <v>1.6399964581089128</v>
      </c>
      <c r="K13" s="21">
        <f>45000850/622000000</f>
        <v>7.2348633440514468E-2</v>
      </c>
      <c r="L13" s="22">
        <v>7.0000000000000007E-2</v>
      </c>
      <c r="M13" s="18"/>
      <c r="N13" s="18"/>
      <c r="P13" s="2" t="s">
        <v>79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s="2" customFormat="1" ht="18" customHeight="1" x14ac:dyDescent="0.2">
      <c r="A14" s="2" t="s">
        <v>10</v>
      </c>
      <c r="B14" s="14">
        <v>0</v>
      </c>
      <c r="C14" s="15">
        <v>0</v>
      </c>
      <c r="D14" s="3"/>
      <c r="E14" s="13">
        <f>I14/J14</f>
        <v>0.32507608050262532</v>
      </c>
      <c r="F14" s="10">
        <f>E14*(1+L14)*(1+K14)</f>
        <v>0.3729965330395722</v>
      </c>
      <c r="H14" s="18">
        <f>13.2*Q6</f>
        <v>3.9285714285714284</v>
      </c>
      <c r="I14" s="18">
        <f t="shared" ref="I14:I16" si="0">H14*$F$4</f>
        <v>4.3067732508165717</v>
      </c>
      <c r="J14" s="18">
        <f>467207*1000/35264875</f>
        <v>13.248508608069644</v>
      </c>
      <c r="K14" s="21">
        <f>45000850/622000000</f>
        <v>7.2348633440514468E-2</v>
      </c>
      <c r="L14" s="22">
        <v>7.0000000000000007E-2</v>
      </c>
      <c r="M14" s="18"/>
      <c r="N14" s="18"/>
      <c r="P14" s="2" t="s">
        <v>81</v>
      </c>
    </row>
    <row r="15" spans="1:31" s="2" customFormat="1" ht="18" customHeight="1" x14ac:dyDescent="0.2">
      <c r="A15" s="2" t="s">
        <v>11</v>
      </c>
      <c r="B15" s="14">
        <v>0</v>
      </c>
      <c r="C15" s="15">
        <v>0</v>
      </c>
      <c r="D15" s="3"/>
      <c r="E15" s="13">
        <f t="shared" ref="E15" si="1">I15/J15</f>
        <v>0.15529790177736436</v>
      </c>
      <c r="F15" s="10">
        <f>E15*(1+L15)*(1+K15)</f>
        <v>0.17819083723943546</v>
      </c>
      <c r="H15" s="18">
        <f>13.2*Q7</f>
        <v>0.30924369747899155</v>
      </c>
      <c r="I15" s="18">
        <f t="shared" si="0"/>
        <v>0.33901445054556112</v>
      </c>
      <c r="J15" s="18">
        <f>37058/16975765*1000</f>
        <v>2.1829944040813474</v>
      </c>
      <c r="K15" s="21">
        <f>45000850/622000000</f>
        <v>7.2348633440514468E-2</v>
      </c>
      <c r="L15" s="22">
        <v>7.0000000000000007E-2</v>
      </c>
      <c r="M15" s="18"/>
      <c r="N15" s="18"/>
      <c r="P15" s="2" t="s">
        <v>82</v>
      </c>
    </row>
    <row r="16" spans="1:31" s="2" customFormat="1" ht="18" customHeight="1" x14ac:dyDescent="0.2">
      <c r="A16" s="2" t="s">
        <v>8</v>
      </c>
      <c r="B16" s="14">
        <f>1/3</f>
        <v>0.33333333333333331</v>
      </c>
      <c r="C16" s="14">
        <f>B16*(K16+1)*(L16+1)*F5</f>
        <v>0.41268993180906538</v>
      </c>
      <c r="D16" s="12">
        <f>C16*1.15</f>
        <v>0.47459342158042517</v>
      </c>
      <c r="E16" s="13">
        <f>I16/J16</f>
        <v>2.957945669292656E-2</v>
      </c>
      <c r="F16" s="10">
        <f>E16*(1+L16)*(1+K16)</f>
        <v>3.6057357708677476E-2</v>
      </c>
      <c r="H16" s="18">
        <v>9.6999999999999993</v>
      </c>
      <c r="I16" s="18">
        <f t="shared" si="0"/>
        <v>10.633814681107099</v>
      </c>
      <c r="J16" s="18">
        <f>(412.5+333+333)/3</f>
        <v>359.5</v>
      </c>
      <c r="K16" s="22">
        <v>0.06</v>
      </c>
      <c r="L16" s="22">
        <v>0.15</v>
      </c>
      <c r="M16" s="18"/>
      <c r="N16" s="18"/>
      <c r="P16" s="2" t="s">
        <v>83</v>
      </c>
    </row>
    <row r="17" spans="1:16" s="2" customFormat="1" ht="18" customHeight="1" x14ac:dyDescent="0.2">
      <c r="B17" s="3"/>
      <c r="C17" s="3"/>
      <c r="D17" s="3"/>
      <c r="P17" s="2" t="s">
        <v>16</v>
      </c>
    </row>
    <row r="18" spans="1:16" s="2" customFormat="1" ht="18" customHeight="1" x14ac:dyDescent="0.2">
      <c r="A18" s="2" t="s">
        <v>68</v>
      </c>
      <c r="B18" s="3"/>
      <c r="C18" s="3"/>
      <c r="D18" s="12">
        <f>SUM(J30:J34)</f>
        <v>2.18096367419192E-2</v>
      </c>
      <c r="F18" s="10">
        <f>SUM(L30:L34)</f>
        <v>0.12839895397248596</v>
      </c>
      <c r="P18" s="6"/>
    </row>
    <row r="19" spans="1:16" s="2" customFormat="1" ht="18" customHeight="1" x14ac:dyDescent="0.2">
      <c r="A19" s="2" t="s">
        <v>71</v>
      </c>
      <c r="B19" s="3"/>
      <c r="C19" s="3"/>
      <c r="D19" s="12">
        <f>SUM(J40:J44)*1000</f>
        <v>7.6761896635943313E-3</v>
      </c>
      <c r="F19" s="10">
        <f>SUM(L39:L44)*1000</f>
        <v>5.3688788246559559E-2</v>
      </c>
      <c r="H19" s="16" t="s">
        <v>44</v>
      </c>
      <c r="I19" s="17"/>
      <c r="J19" s="17" t="s">
        <v>54</v>
      </c>
      <c r="K19" s="17"/>
      <c r="L19" s="17" t="s">
        <v>55</v>
      </c>
      <c r="M19" s="17"/>
      <c r="P19" s="6"/>
    </row>
    <row r="20" spans="1:16" s="2" customFormat="1" ht="18" customHeight="1" x14ac:dyDescent="0.2">
      <c r="A20" s="2" t="s">
        <v>69</v>
      </c>
      <c r="B20" s="3"/>
      <c r="C20" s="3"/>
      <c r="D20" s="12">
        <f>SUM(J21:J25)</f>
        <v>7.0396009347111894</v>
      </c>
      <c r="F20" s="10">
        <f>SUM(L21:L25)</f>
        <v>9.8184617269979082</v>
      </c>
      <c r="H20" s="16"/>
      <c r="I20" s="16"/>
      <c r="J20" s="16" t="s">
        <v>57</v>
      </c>
      <c r="K20" s="16" t="s">
        <v>58</v>
      </c>
      <c r="L20" s="16" t="s">
        <v>57</v>
      </c>
      <c r="M20" s="16" t="s">
        <v>58</v>
      </c>
      <c r="O20" s="2" t="s">
        <v>46</v>
      </c>
      <c r="P20" s="6"/>
    </row>
    <row r="21" spans="1:16" s="1" customFormat="1" x14ac:dyDescent="0.2">
      <c r="H21" s="18" t="s">
        <v>7</v>
      </c>
      <c r="I21" s="17"/>
      <c r="J21" s="17">
        <v>0</v>
      </c>
      <c r="K21" s="30">
        <f>D12</f>
        <v>0</v>
      </c>
      <c r="L21" s="17">
        <f>M21*F12</f>
        <v>2.0477298226291425</v>
      </c>
      <c r="M21" s="17">
        <f>(6.5+1.8)/2</f>
        <v>4.1500000000000004</v>
      </c>
      <c r="O21" s="24" t="s">
        <v>47</v>
      </c>
      <c r="P21" s="8"/>
    </row>
    <row r="22" spans="1:16" x14ac:dyDescent="0.2">
      <c r="H22" s="18" t="s">
        <v>9</v>
      </c>
      <c r="I22" s="17"/>
      <c r="J22" s="17">
        <f>K22*D13</f>
        <v>0.1579963217950244</v>
      </c>
      <c r="K22" s="30">
        <f>(0.1+0.2)/2</f>
        <v>0.15000000000000002</v>
      </c>
      <c r="L22" s="17">
        <f>M22*(F13+C13)</f>
        <v>1.1252686208637075</v>
      </c>
      <c r="M22" s="17">
        <f>(0.1+0.2)/2</f>
        <v>0.15000000000000002</v>
      </c>
    </row>
    <row r="23" spans="1:16" x14ac:dyDescent="0.2">
      <c r="H23" s="18" t="s">
        <v>10</v>
      </c>
      <c r="I23" s="17"/>
      <c r="J23" s="17">
        <v>0</v>
      </c>
      <c r="K23" s="30">
        <f>D14</f>
        <v>0</v>
      </c>
      <c r="L23" s="17">
        <f t="shared" ref="L23:L24" si="2">M23*F14</f>
        <v>0.11189895991187165</v>
      </c>
      <c r="M23" s="17">
        <f>0.3</f>
        <v>0.3</v>
      </c>
    </row>
    <row r="24" spans="1:16" x14ac:dyDescent="0.2">
      <c r="H24" s="18" t="s">
        <v>11</v>
      </c>
      <c r="I24" s="17"/>
      <c r="J24" s="17">
        <v>0</v>
      </c>
      <c r="K24" s="30">
        <f>D15</f>
        <v>0</v>
      </c>
      <c r="L24" s="17">
        <f t="shared" si="2"/>
        <v>2.6728625585915322E-2</v>
      </c>
      <c r="M24" s="17">
        <f>(0.1+0.2)/2</f>
        <v>0.15000000000000002</v>
      </c>
    </row>
    <row r="25" spans="1:16" x14ac:dyDescent="0.2">
      <c r="H25" s="18" t="s">
        <v>8</v>
      </c>
      <c r="I25" s="17"/>
      <c r="J25" s="17">
        <f>K25*D16</f>
        <v>6.8816046129161652</v>
      </c>
      <c r="K25" s="30">
        <f>(7+22)/2</f>
        <v>14.5</v>
      </c>
      <c r="L25" s="17">
        <f>M25*(F16+C16)</f>
        <v>6.5068356980072712</v>
      </c>
      <c r="M25" s="17">
        <f>(7+22)/2</f>
        <v>14.5</v>
      </c>
    </row>
    <row r="26" spans="1:16" x14ac:dyDescent="0.2">
      <c r="M26" s="9"/>
    </row>
    <row r="27" spans="1:16" x14ac:dyDescent="0.2">
      <c r="M27" s="9"/>
    </row>
    <row r="28" spans="1:16" x14ac:dyDescent="0.2">
      <c r="H28" s="23" t="s">
        <v>45</v>
      </c>
      <c r="I28" s="17"/>
      <c r="J28" s="17" t="s">
        <v>54</v>
      </c>
      <c r="K28" s="17"/>
      <c r="L28" s="17" t="s">
        <v>55</v>
      </c>
      <c r="M28" s="19"/>
    </row>
    <row r="29" spans="1:16" x14ac:dyDescent="0.2">
      <c r="H29" s="17"/>
      <c r="I29" s="17"/>
      <c r="J29" s="16" t="s">
        <v>59</v>
      </c>
      <c r="K29" s="16" t="s">
        <v>60</v>
      </c>
      <c r="L29" s="16" t="s">
        <v>59</v>
      </c>
      <c r="M29" s="16" t="s">
        <v>60</v>
      </c>
      <c r="O29" t="s">
        <v>46</v>
      </c>
    </row>
    <row r="30" spans="1:16" x14ac:dyDescent="0.2">
      <c r="H30" s="18" t="s">
        <v>7</v>
      </c>
      <c r="I30" s="17"/>
      <c r="J30" s="17"/>
      <c r="K30" s="19"/>
      <c r="L30" s="17">
        <f>M30*F12</f>
        <v>7.0433200764645262E-3</v>
      </c>
      <c r="M30" s="19">
        <f>$Q$34/$O$34/1000000</f>
        <v>1.4274235787511649E-2</v>
      </c>
      <c r="O30" t="s">
        <v>73</v>
      </c>
    </row>
    <row r="31" spans="1:16" x14ac:dyDescent="0.2">
      <c r="H31" s="18" t="s">
        <v>9</v>
      </c>
      <c r="I31" s="17"/>
      <c r="J31" s="17">
        <f>K31*D13</f>
        <v>1.5035178339078293E-2</v>
      </c>
      <c r="K31" s="19">
        <f>$Q$34/$O$34/1000000</f>
        <v>1.4274235787511649E-2</v>
      </c>
      <c r="L31" s="17">
        <f>M31*F13+K31*C13</f>
        <v>0.10708233078997739</v>
      </c>
      <c r="M31" s="19">
        <f>$Q$34/$O$34/1000000</f>
        <v>1.4274235787511649E-2</v>
      </c>
      <c r="O31" t="s">
        <v>76</v>
      </c>
    </row>
    <row r="32" spans="1:16" x14ac:dyDescent="0.2">
      <c r="H32" s="18" t="s">
        <v>10</v>
      </c>
      <c r="I32" s="17"/>
      <c r="J32" s="17"/>
      <c r="K32" s="19"/>
      <c r="L32" s="17">
        <f t="shared" ref="L32:L33" si="3">M32*F14</f>
        <v>5.324240460531233E-3</v>
      </c>
      <c r="M32" s="19">
        <f>$Q$34/$O$34/1000000</f>
        <v>1.4274235787511649E-2</v>
      </c>
    </row>
    <row r="33" spans="8:20" x14ac:dyDescent="0.2">
      <c r="H33" s="18" t="s">
        <v>11</v>
      </c>
      <c r="I33" s="17"/>
      <c r="J33" s="17"/>
      <c r="K33" s="19"/>
      <c r="L33" s="17">
        <f t="shared" si="3"/>
        <v>2.5435380259298131E-3</v>
      </c>
      <c r="M33" s="19">
        <f>$Q$34/$O$34/1000000</f>
        <v>1.4274235787511649E-2</v>
      </c>
      <c r="O33" s="31" t="s">
        <v>75</v>
      </c>
      <c r="P33" s="32"/>
      <c r="Q33" s="31" t="s">
        <v>74</v>
      </c>
    </row>
    <row r="34" spans="8:20" x14ac:dyDescent="0.2">
      <c r="H34" s="18" t="s">
        <v>8</v>
      </c>
      <c r="I34" s="17"/>
      <c r="J34" s="17">
        <f>K34*D16</f>
        <v>6.7744584028409088E-3</v>
      </c>
      <c r="K34" s="19">
        <f>$Q$34/$O$34/1000000</f>
        <v>1.4274235787511649E-2</v>
      </c>
      <c r="L34" s="17">
        <f>M34*F16+K34*C16</f>
        <v>6.405524619583017E-3</v>
      </c>
      <c r="M34" s="19">
        <f>$Q$34/$O$34/1000000</f>
        <v>1.4274235787511649E-2</v>
      </c>
      <c r="O34">
        <f>12+26.7+173.6+1.8+0.5</f>
        <v>214.60000000000002</v>
      </c>
      <c r="Q34">
        <v>3063251</v>
      </c>
    </row>
    <row r="35" spans="8:20" x14ac:dyDescent="0.2">
      <c r="M35" s="9"/>
    </row>
    <row r="36" spans="8:20" x14ac:dyDescent="0.2">
      <c r="M36" s="9"/>
    </row>
    <row r="37" spans="8:20" x14ac:dyDescent="0.2">
      <c r="H37" s="23" t="s">
        <v>53</v>
      </c>
      <c r="I37" s="17"/>
      <c r="J37" s="17" t="s">
        <v>54</v>
      </c>
      <c r="K37" s="17"/>
      <c r="L37" s="17" t="s">
        <v>55</v>
      </c>
      <c r="M37" s="19"/>
    </row>
    <row r="38" spans="8:20" x14ac:dyDescent="0.2">
      <c r="H38" s="17"/>
      <c r="I38" s="17"/>
      <c r="J38" s="16" t="s">
        <v>59</v>
      </c>
      <c r="K38" s="16" t="s">
        <v>60</v>
      </c>
      <c r="L38" s="16" t="s">
        <v>59</v>
      </c>
      <c r="M38" s="16" t="s">
        <v>60</v>
      </c>
      <c r="O38" t="s">
        <v>46</v>
      </c>
    </row>
    <row r="39" spans="8:20" x14ac:dyDescent="0.2">
      <c r="H39" s="17" t="s">
        <v>6</v>
      </c>
      <c r="I39" s="17"/>
      <c r="J39" s="16"/>
      <c r="K39" s="16"/>
      <c r="L39" s="16"/>
      <c r="M39" s="16"/>
      <c r="O39" t="s">
        <v>70</v>
      </c>
    </row>
    <row r="40" spans="8:20" x14ac:dyDescent="0.2">
      <c r="H40" s="18" t="s">
        <v>7</v>
      </c>
      <c r="I40" s="17"/>
      <c r="J40" s="17"/>
      <c r="K40" s="19"/>
      <c r="L40" s="17">
        <f>M40*F12</f>
        <v>1.5822359661853356E-6</v>
      </c>
      <c r="M40" s="19">
        <f>(47.2+65.2)*2/70105100</f>
        <v>3.2066140694471589E-6</v>
      </c>
      <c r="O40" t="s">
        <v>56</v>
      </c>
    </row>
    <row r="41" spans="8:20" x14ac:dyDescent="0.2">
      <c r="H41" s="18" t="s">
        <v>9</v>
      </c>
      <c r="I41" s="17"/>
      <c r="J41" s="17">
        <f>K41*D13</f>
        <v>7.0828835087808215E-6</v>
      </c>
      <c r="K41" s="19">
        <f>29.5*2/8774000</f>
        <v>6.7244130385229086E-6</v>
      </c>
      <c r="L41" s="17">
        <f>M41*F13+K41*C13</f>
        <v>5.0445139906510702E-5</v>
      </c>
      <c r="M41" s="19">
        <f>29.5*2/8774000</f>
        <v>6.7244130385229086E-6</v>
      </c>
      <c r="O41" t="s">
        <v>72</v>
      </c>
    </row>
    <row r="42" spans="8:20" x14ac:dyDescent="0.2">
      <c r="H42" s="18" t="s">
        <v>10</v>
      </c>
      <c r="I42" s="17"/>
      <c r="J42" s="17"/>
      <c r="K42" s="19"/>
      <c r="L42" s="17">
        <f>F14*M42</f>
        <v>6.8668358719887115E-7</v>
      </c>
      <c r="M42" s="19">
        <f>36.7*2/39869812</f>
        <v>1.8409918762596624E-6</v>
      </c>
    </row>
    <row r="43" spans="8:20" x14ac:dyDescent="0.2">
      <c r="H43" s="18" t="s">
        <v>11</v>
      </c>
      <c r="I43" s="17"/>
      <c r="J43" s="17"/>
      <c r="K43" s="19"/>
      <c r="L43" s="17">
        <f>F15*M43</f>
        <v>0</v>
      </c>
      <c r="M43" s="19">
        <v>0</v>
      </c>
    </row>
    <row r="44" spans="8:20" x14ac:dyDescent="0.2">
      <c r="H44" s="18" t="s">
        <v>8</v>
      </c>
      <c r="I44" s="17"/>
      <c r="J44" s="17">
        <f>K44*D16</f>
        <v>5.9330615481351044E-7</v>
      </c>
      <c r="K44" s="19">
        <f>4.067*0.8*(1.5+3.3)/2*1000000*6/9215000/4067000</f>
        <v>1.250135648399349E-6</v>
      </c>
      <c r="L44" s="17">
        <f>F16*M44+K44*C16</f>
        <v>9.7472878666464831E-7</v>
      </c>
      <c r="M44" s="19">
        <f>(25+0.4)*2/3992311</f>
        <v>1.2724459592451589E-5</v>
      </c>
    </row>
    <row r="47" spans="8:20" x14ac:dyDescent="0.2">
      <c r="H47" s="16" t="s">
        <v>66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"/>
      <c r="T47" s="2" t="s">
        <v>46</v>
      </c>
    </row>
    <row r="48" spans="8:20" x14ac:dyDescent="0.2">
      <c r="H48" s="19" t="s">
        <v>32</v>
      </c>
      <c r="I48" s="19" t="s">
        <v>33</v>
      </c>
      <c r="J48" s="19" t="s">
        <v>34</v>
      </c>
      <c r="K48" s="19" t="s">
        <v>35</v>
      </c>
      <c r="L48" s="19" t="s">
        <v>36</v>
      </c>
      <c r="M48" s="19" t="s">
        <v>37</v>
      </c>
      <c r="N48" s="19" t="s">
        <v>40</v>
      </c>
      <c r="O48" s="17"/>
      <c r="P48" s="19" t="s">
        <v>39</v>
      </c>
      <c r="Q48" s="17"/>
      <c r="R48" s="19" t="s">
        <v>41</v>
      </c>
      <c r="S48" s="2"/>
      <c r="T48" s="28" t="s">
        <v>38</v>
      </c>
    </row>
    <row r="49" spans="8:20" x14ac:dyDescent="0.2">
      <c r="H49" s="18">
        <v>50.6</v>
      </c>
      <c r="I49" s="18">
        <v>29.9</v>
      </c>
      <c r="J49" s="18">
        <v>5.6</v>
      </c>
      <c r="K49" s="18">
        <v>5.6</v>
      </c>
      <c r="L49" s="18">
        <f>24.1*(4+13)/2</f>
        <v>204.85000000000002</v>
      </c>
      <c r="M49" s="18">
        <f>5.8*4*4.5</f>
        <v>104.39999999999999</v>
      </c>
      <c r="N49" s="18">
        <f>SUM(H49:M49)</f>
        <v>400.95</v>
      </c>
      <c r="O49" s="18"/>
      <c r="P49" s="18">
        <v>8059</v>
      </c>
      <c r="Q49" s="18"/>
      <c r="R49" s="18">
        <v>3</v>
      </c>
      <c r="S49" s="2"/>
      <c r="T49" s="2" t="s">
        <v>48</v>
      </c>
    </row>
    <row r="50" spans="8:20" x14ac:dyDescent="0.2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49</v>
      </c>
    </row>
    <row r="51" spans="8:20" x14ac:dyDescent="0.2">
      <c r="S51" s="2"/>
      <c r="T51" s="2" t="s">
        <v>42</v>
      </c>
    </row>
    <row r="52" spans="8:20" x14ac:dyDescent="0.2">
      <c r="H52" s="27" t="s">
        <v>65</v>
      </c>
      <c r="I52" s="17"/>
      <c r="J52" s="17"/>
      <c r="K52" s="17"/>
      <c r="L52" s="2"/>
      <c r="M52" s="2"/>
      <c r="N52" s="2"/>
      <c r="O52" s="2"/>
      <c r="P52" s="2"/>
      <c r="Q52" s="2"/>
      <c r="R52" s="2"/>
    </row>
    <row r="53" spans="8:20" x14ac:dyDescent="0.2">
      <c r="H53" s="25" t="s">
        <v>28</v>
      </c>
      <c r="I53" s="19" t="s">
        <v>29</v>
      </c>
      <c r="J53" s="19" t="s">
        <v>30</v>
      </c>
      <c r="K53" s="19" t="s">
        <v>31</v>
      </c>
      <c r="M53" s="29" t="s">
        <v>46</v>
      </c>
    </row>
    <row r="54" spans="8:20" x14ac:dyDescent="0.2">
      <c r="H54" s="26"/>
      <c r="I54" s="18"/>
      <c r="J54" s="18"/>
      <c r="K54" s="18"/>
      <c r="M54" t="s">
        <v>51</v>
      </c>
    </row>
    <row r="55" spans="8:20" x14ac:dyDescent="0.2">
      <c r="H55" s="26"/>
      <c r="I55" s="18"/>
      <c r="J55" s="18"/>
      <c r="K55" s="18"/>
      <c r="M55" t="s">
        <v>50</v>
      </c>
    </row>
    <row r="56" spans="8:20" x14ac:dyDescent="0.2">
      <c r="H56" s="26">
        <v>235</v>
      </c>
      <c r="I56" s="18">
        <v>2</v>
      </c>
      <c r="J56" s="18">
        <v>299</v>
      </c>
      <c r="K56" s="18">
        <v>2</v>
      </c>
      <c r="M5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Rulitschka</dc:creator>
  <cp:lastModifiedBy>Jannik Rulitschka</cp:lastModifiedBy>
  <dcterms:created xsi:type="dcterms:W3CDTF">2020-02-26T22:02:19Z</dcterms:created>
  <dcterms:modified xsi:type="dcterms:W3CDTF">2020-03-02T21:07:18Z</dcterms:modified>
</cp:coreProperties>
</file>