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354412710281aa/Documentos/Courses_Projects/456qwmx1fv7d-uebgfp5speza-Python-for-DS-and-Python-for-ML/"/>
    </mc:Choice>
  </mc:AlternateContent>
  <xr:revisionPtr revIDLastSave="2722" documentId="11_9FF55F11311832274F2C4C60BD9B35C051241F15" xr6:coauthVersionLast="47" xr6:coauthVersionMax="47" xr10:uidLastSave="{E31653E0-F936-4C57-B7CE-A330450C8D29}"/>
  <bookViews>
    <workbookView xWindow="-120" yWindow="-120" windowWidth="38640" windowHeight="21240" activeTab="4" xr2:uid="{00000000-000D-0000-FFFF-FFFF00000000}"/>
  </bookViews>
  <sheets>
    <sheet name="Servings" sheetId="1" r:id="rId1"/>
    <sheet name="MealTime" sheetId="12" r:id="rId2"/>
    <sheet name="consumed food" sheetId="2" r:id="rId3"/>
    <sheet name="consumed food (2)" sheetId="5" r:id="rId4"/>
    <sheet name="consumed food (3)" sheetId="11" r:id="rId5"/>
    <sheet name="consumed food (4)" sheetId="13" r:id="rId6"/>
  </sheets>
  <definedNames>
    <definedName name="DynamicMeasurements">OFFSET(#REF!,0,0,1,IF(#REF!&lt;&gt;"",2,1))</definedName>
    <definedName name="food_name">Servings!$C:$C</definedName>
    <definedName name="MealTime">MealTime!$A$2:$A$8</definedName>
    <definedName name="Type_of_day">MealTime!$C$2:$C$6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9" i="11" l="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G19" i="11" s="1"/>
  <c r="AB19" i="11"/>
  <c r="AA19" i="11"/>
  <c r="Z19" i="11"/>
  <c r="D19" i="11"/>
  <c r="C19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D20" i="11"/>
  <c r="C20" i="11"/>
  <c r="G27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G20" i="13"/>
  <c r="O20" i="13" s="1"/>
  <c r="D20" i="13"/>
  <c r="C20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D27" i="13"/>
  <c r="C27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D19" i="13"/>
  <c r="C19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D32" i="13"/>
  <c r="C32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D31" i="13"/>
  <c r="C31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D30" i="13"/>
  <c r="C30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D29" i="13"/>
  <c r="C29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D28" i="13"/>
  <c r="C28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D26" i="13"/>
  <c r="C26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D25" i="13"/>
  <c r="C25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D24" i="13"/>
  <c r="C24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D23" i="13"/>
  <c r="C23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D22" i="13"/>
  <c r="C22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D21" i="13"/>
  <c r="C21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D18" i="13"/>
  <c r="C18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D17" i="13"/>
  <c r="C17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D16" i="13"/>
  <c r="C16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D15" i="13"/>
  <c r="C15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D14" i="13"/>
  <c r="C14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D13" i="13"/>
  <c r="C13" i="13"/>
  <c r="Q6" i="13"/>
  <c r="P6" i="13"/>
  <c r="K4" i="13"/>
  <c r="J4" i="13"/>
  <c r="I4" i="13"/>
  <c r="P4" i="13" s="1"/>
  <c r="K2" i="13"/>
  <c r="J2" i="13"/>
  <c r="I2" i="13"/>
  <c r="U6" i="5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D31" i="11"/>
  <c r="C31" i="11"/>
  <c r="J4" i="11"/>
  <c r="I4" i="11"/>
  <c r="Q4" i="11" s="1"/>
  <c r="K4" i="11"/>
  <c r="C25" i="11"/>
  <c r="D25" i="11"/>
  <c r="C26" i="11"/>
  <c r="D26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D30" i="11"/>
  <c r="C30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D29" i="11"/>
  <c r="C29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D28" i="11"/>
  <c r="C28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D27" i="11"/>
  <c r="C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D24" i="11"/>
  <c r="C24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D23" i="11"/>
  <c r="C23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D22" i="11"/>
  <c r="C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D21" i="11"/>
  <c r="C21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D18" i="11"/>
  <c r="C18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D17" i="11"/>
  <c r="C17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D16" i="11"/>
  <c r="C16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D15" i="11"/>
  <c r="C15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D14" i="11"/>
  <c r="C14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D13" i="11"/>
  <c r="C13" i="11"/>
  <c r="Q6" i="11"/>
  <c r="P6" i="11"/>
  <c r="K2" i="11"/>
  <c r="J2" i="11"/>
  <c r="I2" i="11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D13" i="5"/>
  <c r="C13" i="5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D13" i="2"/>
  <c r="C13" i="2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G32" i="5" s="1"/>
  <c r="AA32" i="5"/>
  <c r="Z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G31" i="5" s="1"/>
  <c r="AA31" i="5"/>
  <c r="Z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G30" i="5" s="1"/>
  <c r="Q6" i="2"/>
  <c r="P6" i="2"/>
  <c r="H4" i="2"/>
  <c r="Q6" i="5"/>
  <c r="P6" i="5"/>
  <c r="H4" i="5"/>
  <c r="K2" i="5"/>
  <c r="J2" i="5"/>
  <c r="I2" i="5"/>
  <c r="AC29" i="5"/>
  <c r="AB29" i="5"/>
  <c r="G29" i="5" s="1"/>
  <c r="AA29" i="5"/>
  <c r="Z29" i="5"/>
  <c r="AC29" i="2"/>
  <c r="AB29" i="2"/>
  <c r="G29" i="2" s="1"/>
  <c r="AA29" i="2"/>
  <c r="Z29" i="2"/>
  <c r="AC28" i="5"/>
  <c r="AB28" i="5"/>
  <c r="G28" i="5" s="1"/>
  <c r="AA28" i="5"/>
  <c r="Z28" i="5"/>
  <c r="AC27" i="5"/>
  <c r="AB27" i="5"/>
  <c r="G27" i="5" s="1"/>
  <c r="AA27" i="5"/>
  <c r="Z27" i="5"/>
  <c r="AC26" i="5"/>
  <c r="AB26" i="5"/>
  <c r="G26" i="5" s="1"/>
  <c r="AA26" i="5"/>
  <c r="Z26" i="5"/>
  <c r="Z25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4" i="5"/>
  <c r="AB24" i="5"/>
  <c r="G24" i="5" s="1"/>
  <c r="AA24" i="5"/>
  <c r="Z24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G25" i="5" s="1"/>
  <c r="AA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G23" i="5" s="1"/>
  <c r="AA23" i="5"/>
  <c r="Z23" i="5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G28" i="2" s="1"/>
  <c r="AA28" i="2"/>
  <c r="Z28" i="2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G22" i="5" s="1"/>
  <c r="AA22" i="5"/>
  <c r="Z22" i="5"/>
  <c r="Z20" i="5"/>
  <c r="G20" i="5" s="1"/>
  <c r="AA20" i="5"/>
  <c r="AB20" i="5"/>
  <c r="AC20" i="5"/>
  <c r="Z21" i="5"/>
  <c r="G21" i="5" s="1"/>
  <c r="AA21" i="5"/>
  <c r="AB21" i="5"/>
  <c r="AC21" i="5"/>
  <c r="Z17" i="5"/>
  <c r="G17" i="5" s="1"/>
  <c r="AA17" i="5"/>
  <c r="AB17" i="5"/>
  <c r="AC17" i="5"/>
  <c r="Z18" i="5"/>
  <c r="G18" i="5" s="1"/>
  <c r="AA18" i="5"/>
  <c r="AB18" i="5"/>
  <c r="AC18" i="5"/>
  <c r="Z19" i="5"/>
  <c r="AA19" i="5"/>
  <c r="AB19" i="5"/>
  <c r="G19" i="5" s="1"/>
  <c r="AC19" i="5"/>
  <c r="AC16" i="5"/>
  <c r="AB16" i="5"/>
  <c r="G16" i="5" s="1"/>
  <c r="AA16" i="5"/>
  <c r="Z16" i="5"/>
  <c r="Z14" i="5"/>
  <c r="G14" i="5" s="1"/>
  <c r="AA14" i="5"/>
  <c r="AB14" i="5"/>
  <c r="AC14" i="5"/>
  <c r="Z15" i="5"/>
  <c r="AA15" i="5"/>
  <c r="AB15" i="5"/>
  <c r="G15" i="5" s="1"/>
  <c r="AC15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G13" i="5" s="1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T13" i="2"/>
  <c r="AS13" i="2"/>
  <c r="AR13" i="2"/>
  <c r="AQ13" i="2"/>
  <c r="AP13" i="2"/>
  <c r="AO13" i="2"/>
  <c r="AU13" i="2"/>
  <c r="AN13" i="2"/>
  <c r="AM13" i="2"/>
  <c r="AL13" i="2"/>
  <c r="AK13" i="2"/>
  <c r="AJ13" i="2"/>
  <c r="AI13" i="2"/>
  <c r="AH13" i="2"/>
  <c r="Z27" i="2"/>
  <c r="AA27" i="2"/>
  <c r="AB27" i="2"/>
  <c r="G27" i="2" s="1"/>
  <c r="AC27" i="2"/>
  <c r="AD27" i="2"/>
  <c r="AE27" i="2"/>
  <c r="AF27" i="2"/>
  <c r="AG27" i="2"/>
  <c r="AG26" i="2"/>
  <c r="AF26" i="2"/>
  <c r="AE26" i="2"/>
  <c r="AD26" i="2"/>
  <c r="AC26" i="2"/>
  <c r="AB26" i="2"/>
  <c r="G26" i="2" s="1"/>
  <c r="AA26" i="2"/>
  <c r="Z26" i="2"/>
  <c r="AG25" i="2"/>
  <c r="AF25" i="2"/>
  <c r="AE25" i="2"/>
  <c r="AD25" i="2"/>
  <c r="AC25" i="2"/>
  <c r="AB25" i="2"/>
  <c r="AA25" i="2"/>
  <c r="Z25" i="2"/>
  <c r="G25" i="2" s="1"/>
  <c r="AG24" i="2"/>
  <c r="AF24" i="2"/>
  <c r="AE24" i="2"/>
  <c r="AD24" i="2"/>
  <c r="AC24" i="2"/>
  <c r="AB24" i="2"/>
  <c r="G24" i="2" s="1"/>
  <c r="AA24" i="2"/>
  <c r="Z24" i="2"/>
  <c r="Z23" i="2"/>
  <c r="AA23" i="2"/>
  <c r="AB23" i="2"/>
  <c r="G23" i="2" s="1"/>
  <c r="AC23" i="2"/>
  <c r="AD23" i="2"/>
  <c r="AE23" i="2"/>
  <c r="AF23" i="2"/>
  <c r="AG23" i="2"/>
  <c r="Z22" i="2"/>
  <c r="AA22" i="2"/>
  <c r="AB22" i="2"/>
  <c r="G22" i="2" s="1"/>
  <c r="AC22" i="2"/>
  <c r="AD22" i="2"/>
  <c r="AE22" i="2"/>
  <c r="AF22" i="2"/>
  <c r="AG22" i="2"/>
  <c r="Z14" i="2"/>
  <c r="AA14" i="2"/>
  <c r="AB14" i="2"/>
  <c r="G14" i="2" s="1"/>
  <c r="AC14" i="2"/>
  <c r="AD14" i="2"/>
  <c r="AE14" i="2"/>
  <c r="AF14" i="2"/>
  <c r="AG14" i="2"/>
  <c r="Z15" i="2"/>
  <c r="G15" i="2" s="1"/>
  <c r="AA15" i="2"/>
  <c r="AB15" i="2"/>
  <c r="AC15" i="2"/>
  <c r="AD15" i="2"/>
  <c r="AE15" i="2"/>
  <c r="AF15" i="2"/>
  <c r="AG15" i="2"/>
  <c r="Z16" i="2"/>
  <c r="G16" i="2" s="1"/>
  <c r="AA16" i="2"/>
  <c r="AB16" i="2"/>
  <c r="AC16" i="2"/>
  <c r="AD16" i="2"/>
  <c r="AE16" i="2"/>
  <c r="AF16" i="2"/>
  <c r="AG16" i="2"/>
  <c r="Z17" i="2"/>
  <c r="AA17" i="2"/>
  <c r="AB17" i="2"/>
  <c r="G17" i="2" s="1"/>
  <c r="AC17" i="2"/>
  <c r="AD17" i="2"/>
  <c r="AE17" i="2"/>
  <c r="AF17" i="2"/>
  <c r="AG17" i="2"/>
  <c r="Z18" i="2"/>
  <c r="G18" i="2" s="1"/>
  <c r="AA18" i="2"/>
  <c r="AB18" i="2"/>
  <c r="AC18" i="2"/>
  <c r="AD18" i="2"/>
  <c r="AE18" i="2"/>
  <c r="AF18" i="2"/>
  <c r="AG18" i="2"/>
  <c r="Z19" i="2"/>
  <c r="G19" i="2" s="1"/>
  <c r="AA19" i="2"/>
  <c r="AB19" i="2"/>
  <c r="AC19" i="2"/>
  <c r="AD19" i="2"/>
  <c r="AE19" i="2"/>
  <c r="AF19" i="2"/>
  <c r="AG19" i="2"/>
  <c r="Z20" i="2"/>
  <c r="G20" i="2" s="1"/>
  <c r="AA20" i="2"/>
  <c r="AB20" i="2"/>
  <c r="AC20" i="2"/>
  <c r="AD20" i="2"/>
  <c r="AE20" i="2"/>
  <c r="AF20" i="2"/>
  <c r="AG20" i="2"/>
  <c r="Z21" i="2"/>
  <c r="G21" i="2" s="1"/>
  <c r="AA21" i="2"/>
  <c r="AB21" i="2"/>
  <c r="AC21" i="2"/>
  <c r="AD21" i="2"/>
  <c r="AE21" i="2"/>
  <c r="AF21" i="2"/>
  <c r="AG21" i="2"/>
  <c r="AG13" i="2"/>
  <c r="AF13" i="2"/>
  <c r="AE13" i="2"/>
  <c r="AD13" i="2"/>
  <c r="AC13" i="2"/>
  <c r="AB13" i="2"/>
  <c r="AA13" i="2"/>
  <c r="Z13" i="2"/>
  <c r="G13" i="2" s="1"/>
  <c r="O19" i="11" l="1"/>
  <c r="P19" i="11"/>
  <c r="Q19" i="11"/>
  <c r="R19" i="11"/>
  <c r="S19" i="11"/>
  <c r="T19" i="11"/>
  <c r="U19" i="11"/>
  <c r="V19" i="11"/>
  <c r="W19" i="11"/>
  <c r="H19" i="11"/>
  <c r="X19" i="11"/>
  <c r="I19" i="11"/>
  <c r="Y19" i="11"/>
  <c r="J19" i="11"/>
  <c r="K19" i="11"/>
  <c r="L19" i="11"/>
  <c r="M19" i="11"/>
  <c r="N19" i="11"/>
  <c r="G20" i="11"/>
  <c r="R20" i="11" s="1"/>
  <c r="V20" i="11"/>
  <c r="U20" i="11"/>
  <c r="T20" i="11"/>
  <c r="S20" i="11"/>
  <c r="L20" i="11"/>
  <c r="M20" i="11"/>
  <c r="N20" i="11"/>
  <c r="P20" i="13"/>
  <c r="Q20" i="13"/>
  <c r="R20" i="13"/>
  <c r="S20" i="13"/>
  <c r="U20" i="13"/>
  <c r="V20" i="13"/>
  <c r="T20" i="13"/>
  <c r="W20" i="13"/>
  <c r="H20" i="13"/>
  <c r="X20" i="13"/>
  <c r="I20" i="13"/>
  <c r="Y20" i="13"/>
  <c r="J20" i="13"/>
  <c r="K20" i="13"/>
  <c r="L20" i="13"/>
  <c r="M20" i="13"/>
  <c r="N20" i="13"/>
  <c r="O27" i="13"/>
  <c r="H27" i="13"/>
  <c r="I27" i="13"/>
  <c r="P27" i="13"/>
  <c r="Q27" i="13"/>
  <c r="R27" i="13"/>
  <c r="T27" i="13"/>
  <c r="X27" i="13"/>
  <c r="Y27" i="13"/>
  <c r="S27" i="13"/>
  <c r="U27" i="13"/>
  <c r="V27" i="13"/>
  <c r="W27" i="13"/>
  <c r="J27" i="13"/>
  <c r="K27" i="13"/>
  <c r="L27" i="13"/>
  <c r="M27" i="13"/>
  <c r="N27" i="13"/>
  <c r="G14" i="13"/>
  <c r="U14" i="13" s="1"/>
  <c r="G22" i="13"/>
  <c r="S22" i="13" s="1"/>
  <c r="G17" i="13"/>
  <c r="U17" i="13" s="1"/>
  <c r="G30" i="13"/>
  <c r="V30" i="13" s="1"/>
  <c r="G25" i="13"/>
  <c r="V25" i="13" s="1"/>
  <c r="G21" i="13"/>
  <c r="W21" i="13" s="1"/>
  <c r="G19" i="13"/>
  <c r="L19" i="13" s="1"/>
  <c r="H2" i="13"/>
  <c r="G23" i="13"/>
  <c r="R23" i="13" s="1"/>
  <c r="V14" i="13"/>
  <c r="G16" i="13"/>
  <c r="J16" i="13" s="1"/>
  <c r="G26" i="13"/>
  <c r="Y26" i="13" s="1"/>
  <c r="G31" i="13"/>
  <c r="U31" i="13" s="1"/>
  <c r="G13" i="13"/>
  <c r="Y13" i="13" s="1"/>
  <c r="H4" i="13"/>
  <c r="G15" i="13"/>
  <c r="Y15" i="13" s="1"/>
  <c r="Q4" i="13"/>
  <c r="G32" i="13"/>
  <c r="O32" i="13" s="1"/>
  <c r="U22" i="13"/>
  <c r="G18" i="13"/>
  <c r="Q18" i="13" s="1"/>
  <c r="G29" i="13"/>
  <c r="M29" i="13" s="1"/>
  <c r="G24" i="13"/>
  <c r="V24" i="13" s="1"/>
  <c r="G28" i="13"/>
  <c r="O28" i="13" s="1"/>
  <c r="M24" i="13"/>
  <c r="N29" i="13"/>
  <c r="I29" i="13"/>
  <c r="X29" i="13"/>
  <c r="W29" i="13"/>
  <c r="H25" i="13"/>
  <c r="K22" i="13"/>
  <c r="H14" i="13"/>
  <c r="N14" i="13"/>
  <c r="L22" i="13"/>
  <c r="P14" i="13"/>
  <c r="Q14" i="13"/>
  <c r="P17" i="13"/>
  <c r="Y14" i="13"/>
  <c r="S14" i="13"/>
  <c r="H4" i="11"/>
  <c r="G31" i="11"/>
  <c r="O31" i="11" s="1"/>
  <c r="G17" i="11"/>
  <c r="O17" i="11" s="1"/>
  <c r="G26" i="11"/>
  <c r="P26" i="11" s="1"/>
  <c r="P4" i="11"/>
  <c r="G18" i="11"/>
  <c r="R18" i="11" s="1"/>
  <c r="G24" i="11"/>
  <c r="Q24" i="11" s="1"/>
  <c r="G22" i="11"/>
  <c r="X22" i="11" s="1"/>
  <c r="G14" i="11"/>
  <c r="U14" i="11" s="1"/>
  <c r="G15" i="11"/>
  <c r="J15" i="11" s="1"/>
  <c r="G27" i="11"/>
  <c r="Y27" i="11" s="1"/>
  <c r="G29" i="11"/>
  <c r="Q29" i="11" s="1"/>
  <c r="G16" i="11"/>
  <c r="O16" i="11" s="1"/>
  <c r="G28" i="11"/>
  <c r="O28" i="11" s="1"/>
  <c r="G30" i="11"/>
  <c r="V30" i="11" s="1"/>
  <c r="G21" i="11"/>
  <c r="O21" i="11" s="1"/>
  <c r="G25" i="11"/>
  <c r="I25" i="11" s="1"/>
  <c r="G23" i="11"/>
  <c r="J23" i="11" s="1"/>
  <c r="G13" i="11"/>
  <c r="H2" i="11"/>
  <c r="O30" i="5"/>
  <c r="O32" i="5"/>
  <c r="N32" i="5"/>
  <c r="M32" i="5"/>
  <c r="L32" i="5"/>
  <c r="K32" i="5"/>
  <c r="J32" i="5"/>
  <c r="Y32" i="5"/>
  <c r="I32" i="5"/>
  <c r="X32" i="5"/>
  <c r="H32" i="5"/>
  <c r="W32" i="5"/>
  <c r="Q32" i="5"/>
  <c r="V32" i="5"/>
  <c r="U32" i="5"/>
  <c r="T32" i="5"/>
  <c r="R32" i="5"/>
  <c r="P32" i="5"/>
  <c r="S32" i="5"/>
  <c r="O31" i="5"/>
  <c r="H31" i="5"/>
  <c r="Q31" i="5"/>
  <c r="X31" i="5"/>
  <c r="P31" i="5"/>
  <c r="R31" i="5"/>
  <c r="S31" i="5"/>
  <c r="T31" i="5"/>
  <c r="U31" i="5"/>
  <c r="V31" i="5"/>
  <c r="W31" i="5"/>
  <c r="I31" i="5"/>
  <c r="Y31" i="5"/>
  <c r="J31" i="5"/>
  <c r="K31" i="5"/>
  <c r="L31" i="5"/>
  <c r="M31" i="5"/>
  <c r="N31" i="5"/>
  <c r="P30" i="5"/>
  <c r="Q30" i="5"/>
  <c r="R30" i="5"/>
  <c r="S30" i="5"/>
  <c r="T30" i="5"/>
  <c r="U30" i="5"/>
  <c r="V30" i="5"/>
  <c r="W30" i="5"/>
  <c r="H30" i="5"/>
  <c r="X30" i="5"/>
  <c r="I30" i="5"/>
  <c r="Y30" i="5"/>
  <c r="J30" i="5"/>
  <c r="K30" i="5"/>
  <c r="L30" i="5"/>
  <c r="M30" i="5"/>
  <c r="N30" i="5"/>
  <c r="T19" i="5"/>
  <c r="T16" i="5"/>
  <c r="T26" i="5"/>
  <c r="K29" i="5"/>
  <c r="N29" i="5"/>
  <c r="H2" i="5"/>
  <c r="M27" i="5"/>
  <c r="M29" i="5"/>
  <c r="O29" i="5"/>
  <c r="P29" i="5"/>
  <c r="Q29" i="5"/>
  <c r="R29" i="5"/>
  <c r="S29" i="5"/>
  <c r="T29" i="5"/>
  <c r="X23" i="5"/>
  <c r="U29" i="5"/>
  <c r="V29" i="5"/>
  <c r="M28" i="5"/>
  <c r="W29" i="5"/>
  <c r="H29" i="5"/>
  <c r="X29" i="5"/>
  <c r="I29" i="5"/>
  <c r="Y29" i="5"/>
  <c r="J29" i="5"/>
  <c r="L29" i="5"/>
  <c r="M29" i="2"/>
  <c r="L29" i="2"/>
  <c r="K29" i="2"/>
  <c r="J29" i="2"/>
  <c r="Y29" i="2"/>
  <c r="I29" i="2"/>
  <c r="P29" i="2"/>
  <c r="X29" i="2"/>
  <c r="H29" i="2"/>
  <c r="W29" i="2"/>
  <c r="V29" i="2"/>
  <c r="U29" i="2"/>
  <c r="T29" i="2"/>
  <c r="S29" i="2"/>
  <c r="R29" i="2"/>
  <c r="Q29" i="2"/>
  <c r="O29" i="2"/>
  <c r="N29" i="2"/>
  <c r="H23" i="5"/>
  <c r="Q23" i="5"/>
  <c r="U23" i="5"/>
  <c r="R23" i="5"/>
  <c r="S23" i="5"/>
  <c r="S24" i="5"/>
  <c r="V27" i="5"/>
  <c r="N28" i="5"/>
  <c r="O28" i="5"/>
  <c r="P28" i="5"/>
  <c r="Q28" i="5"/>
  <c r="R28" i="5"/>
  <c r="S28" i="5"/>
  <c r="J27" i="5"/>
  <c r="N27" i="5"/>
  <c r="O27" i="5"/>
  <c r="P27" i="5"/>
  <c r="Q27" i="5"/>
  <c r="R27" i="5"/>
  <c r="S27" i="5"/>
  <c r="T27" i="5"/>
  <c r="U27" i="5"/>
  <c r="T28" i="5"/>
  <c r="U28" i="5"/>
  <c r="V28" i="5"/>
  <c r="W28" i="5"/>
  <c r="H28" i="5"/>
  <c r="X28" i="5"/>
  <c r="I28" i="5"/>
  <c r="Y28" i="5"/>
  <c r="J28" i="5"/>
  <c r="K28" i="5"/>
  <c r="L28" i="5"/>
  <c r="W27" i="5"/>
  <c r="H27" i="5"/>
  <c r="X27" i="5"/>
  <c r="I27" i="5"/>
  <c r="Y27" i="5"/>
  <c r="K27" i="5"/>
  <c r="L27" i="5"/>
  <c r="M26" i="5"/>
  <c r="L26" i="5"/>
  <c r="K26" i="5"/>
  <c r="J26" i="5"/>
  <c r="Y26" i="5"/>
  <c r="I26" i="5"/>
  <c r="N26" i="5"/>
  <c r="X26" i="5"/>
  <c r="H26" i="5"/>
  <c r="W26" i="5"/>
  <c r="V26" i="5"/>
  <c r="U26" i="5"/>
  <c r="S26" i="5"/>
  <c r="R26" i="5"/>
  <c r="Q26" i="5"/>
  <c r="P26" i="5"/>
  <c r="O26" i="5"/>
  <c r="J25" i="5"/>
  <c r="N25" i="5"/>
  <c r="L25" i="5"/>
  <c r="K25" i="5"/>
  <c r="P23" i="5"/>
  <c r="R25" i="5"/>
  <c r="M25" i="5"/>
  <c r="W25" i="5"/>
  <c r="O25" i="5"/>
  <c r="X25" i="5"/>
  <c r="T25" i="5"/>
  <c r="Y25" i="5"/>
  <c r="U25" i="5"/>
  <c r="R24" i="5"/>
  <c r="T24" i="5"/>
  <c r="H24" i="5"/>
  <c r="U24" i="5"/>
  <c r="I24" i="5"/>
  <c r="V24" i="5"/>
  <c r="J24" i="5"/>
  <c r="W24" i="5"/>
  <c r="K24" i="5"/>
  <c r="X24" i="5"/>
  <c r="L24" i="5"/>
  <c r="Q24" i="5"/>
  <c r="Y24" i="5"/>
  <c r="M24" i="5"/>
  <c r="N24" i="5"/>
  <c r="O24" i="5"/>
  <c r="P24" i="5"/>
  <c r="P25" i="5"/>
  <c r="Q25" i="5"/>
  <c r="S25" i="5"/>
  <c r="H25" i="5"/>
  <c r="I25" i="5"/>
  <c r="V25" i="5"/>
  <c r="O23" i="5"/>
  <c r="T23" i="5"/>
  <c r="V23" i="5"/>
  <c r="W23" i="5"/>
  <c r="I23" i="5"/>
  <c r="Y23" i="5"/>
  <c r="J23" i="5"/>
  <c r="K23" i="5"/>
  <c r="L23" i="5"/>
  <c r="M23" i="5"/>
  <c r="N23" i="5"/>
  <c r="N28" i="2"/>
  <c r="T28" i="2"/>
  <c r="P28" i="2"/>
  <c r="O28" i="2"/>
  <c r="Q28" i="2"/>
  <c r="R28" i="2"/>
  <c r="S28" i="2"/>
  <c r="U28" i="2"/>
  <c r="V28" i="2"/>
  <c r="W28" i="2"/>
  <c r="H28" i="2"/>
  <c r="X28" i="2"/>
  <c r="I28" i="2"/>
  <c r="Y28" i="2"/>
  <c r="J28" i="2"/>
  <c r="K28" i="2"/>
  <c r="L28" i="2"/>
  <c r="M28" i="2"/>
  <c r="O22" i="5"/>
  <c r="H22" i="5"/>
  <c r="Y22" i="5"/>
  <c r="V22" i="5"/>
  <c r="U22" i="5"/>
  <c r="T22" i="5"/>
  <c r="S22" i="5"/>
  <c r="R22" i="5"/>
  <c r="Q22" i="5"/>
  <c r="P22" i="5"/>
  <c r="I22" i="5"/>
  <c r="P14" i="2"/>
  <c r="R23" i="2"/>
  <c r="W22" i="5"/>
  <c r="X22" i="5"/>
  <c r="J22" i="5"/>
  <c r="K22" i="5"/>
  <c r="L22" i="5"/>
  <c r="M22" i="5"/>
  <c r="N22" i="5"/>
  <c r="O21" i="5"/>
  <c r="P21" i="5"/>
  <c r="Q21" i="5"/>
  <c r="R21" i="5"/>
  <c r="V20" i="5"/>
  <c r="W20" i="5"/>
  <c r="H20" i="5"/>
  <c r="M21" i="5"/>
  <c r="S20" i="5"/>
  <c r="L21" i="5"/>
  <c r="R20" i="5"/>
  <c r="U20" i="5"/>
  <c r="T20" i="5"/>
  <c r="J21" i="5"/>
  <c r="P20" i="5"/>
  <c r="Y21" i="5"/>
  <c r="I21" i="5"/>
  <c r="O20" i="5"/>
  <c r="X21" i="5"/>
  <c r="H21" i="5"/>
  <c r="N20" i="5"/>
  <c r="N21" i="5"/>
  <c r="M20" i="5"/>
  <c r="W21" i="5"/>
  <c r="V21" i="5"/>
  <c r="L20" i="5"/>
  <c r="U21" i="5"/>
  <c r="K20" i="5"/>
  <c r="Q20" i="5"/>
  <c r="T21" i="5"/>
  <c r="J20" i="5"/>
  <c r="K21" i="5"/>
  <c r="S21" i="5"/>
  <c r="Y20" i="5"/>
  <c r="I20" i="5"/>
  <c r="X20" i="5"/>
  <c r="H15" i="5"/>
  <c r="H19" i="5"/>
  <c r="H17" i="5"/>
  <c r="I19" i="5"/>
  <c r="X19" i="5"/>
  <c r="P18" i="5"/>
  <c r="N18" i="5"/>
  <c r="Q18" i="5"/>
  <c r="R18" i="5"/>
  <c r="S18" i="5"/>
  <c r="T18" i="5"/>
  <c r="O18" i="5"/>
  <c r="U18" i="5"/>
  <c r="V18" i="5"/>
  <c r="W18" i="5"/>
  <c r="H18" i="5"/>
  <c r="X18" i="5"/>
  <c r="M18" i="5"/>
  <c r="I18" i="5"/>
  <c r="Y18" i="5"/>
  <c r="J18" i="5"/>
  <c r="K18" i="5"/>
  <c r="L18" i="5"/>
  <c r="W17" i="5"/>
  <c r="X17" i="5"/>
  <c r="I17" i="5"/>
  <c r="Y17" i="5"/>
  <c r="J17" i="5"/>
  <c r="K17" i="5"/>
  <c r="L17" i="5"/>
  <c r="V17" i="5"/>
  <c r="M17" i="5"/>
  <c r="N17" i="5"/>
  <c r="O17" i="5"/>
  <c r="P17" i="5"/>
  <c r="Q17" i="5"/>
  <c r="U17" i="5"/>
  <c r="R17" i="5"/>
  <c r="S17" i="5"/>
  <c r="T17" i="5"/>
  <c r="U19" i="5"/>
  <c r="W19" i="5"/>
  <c r="V19" i="5"/>
  <c r="R19" i="5"/>
  <c r="Q19" i="5"/>
  <c r="S19" i="5"/>
  <c r="P19" i="5"/>
  <c r="O19" i="5"/>
  <c r="N19" i="5"/>
  <c r="M19" i="5"/>
  <c r="L19" i="5"/>
  <c r="K19" i="5"/>
  <c r="J19" i="5"/>
  <c r="Y19" i="5"/>
  <c r="T16" i="2"/>
  <c r="T24" i="2"/>
  <c r="X18" i="2"/>
  <c r="V17" i="2"/>
  <c r="P22" i="2"/>
  <c r="N21" i="2"/>
  <c r="L19" i="2"/>
  <c r="R15" i="2"/>
  <c r="L20" i="2"/>
  <c r="L13" i="2"/>
  <c r="V25" i="2"/>
  <c r="I14" i="5"/>
  <c r="T14" i="5"/>
  <c r="U14" i="5"/>
  <c r="V14" i="5"/>
  <c r="W14" i="5"/>
  <c r="X14" i="5"/>
  <c r="H14" i="5"/>
  <c r="K14" i="5"/>
  <c r="L14" i="5"/>
  <c r="M14" i="5"/>
  <c r="N14" i="5"/>
  <c r="O14" i="5"/>
  <c r="P14" i="5"/>
  <c r="Q14" i="5"/>
  <c r="R14" i="5"/>
  <c r="S14" i="5"/>
  <c r="M16" i="5"/>
  <c r="L16" i="5"/>
  <c r="K16" i="5"/>
  <c r="J16" i="5"/>
  <c r="Y16" i="5"/>
  <c r="I16" i="5"/>
  <c r="X16" i="5"/>
  <c r="H16" i="5"/>
  <c r="W16" i="5"/>
  <c r="Q16" i="5"/>
  <c r="V16" i="5"/>
  <c r="U16" i="5"/>
  <c r="S16" i="5"/>
  <c r="N16" i="5"/>
  <c r="R16" i="5"/>
  <c r="P16" i="5"/>
  <c r="O16" i="5"/>
  <c r="T15" i="5"/>
  <c r="Y15" i="5"/>
  <c r="W15" i="5"/>
  <c r="U15" i="5"/>
  <c r="I15" i="5"/>
  <c r="J15" i="5"/>
  <c r="K15" i="5"/>
  <c r="X15" i="5"/>
  <c r="L15" i="5"/>
  <c r="M15" i="5"/>
  <c r="N15" i="5"/>
  <c r="O15" i="5"/>
  <c r="P15" i="5"/>
  <c r="Q15" i="5"/>
  <c r="R15" i="5"/>
  <c r="S15" i="5"/>
  <c r="J14" i="5"/>
  <c r="V15" i="5"/>
  <c r="Y14" i="5"/>
  <c r="T13" i="5"/>
  <c r="S13" i="5"/>
  <c r="R13" i="5"/>
  <c r="Q13" i="5"/>
  <c r="P13" i="5"/>
  <c r="Y13" i="5"/>
  <c r="U13" i="5"/>
  <c r="X13" i="5"/>
  <c r="J13" i="5"/>
  <c r="W13" i="5"/>
  <c r="V13" i="5"/>
  <c r="K13" i="5"/>
  <c r="I13" i="5"/>
  <c r="O13" i="5"/>
  <c r="N13" i="5"/>
  <c r="M13" i="5"/>
  <c r="L13" i="5"/>
  <c r="H13" i="5"/>
  <c r="L27" i="2"/>
  <c r="X26" i="2"/>
  <c r="Y27" i="2"/>
  <c r="W26" i="2"/>
  <c r="U25" i="2"/>
  <c r="S24" i="2"/>
  <c r="Q23" i="2"/>
  <c r="O22" i="2"/>
  <c r="M21" i="2"/>
  <c r="Y19" i="2"/>
  <c r="W18" i="2"/>
  <c r="U17" i="2"/>
  <c r="S16" i="2"/>
  <c r="Q15" i="2"/>
  <c r="O14" i="2"/>
  <c r="X27" i="2"/>
  <c r="V26" i="2"/>
  <c r="T25" i="2"/>
  <c r="R24" i="2"/>
  <c r="P23" i="2"/>
  <c r="N22" i="2"/>
  <c r="L21" i="2"/>
  <c r="X19" i="2"/>
  <c r="V18" i="2"/>
  <c r="T17" i="2"/>
  <c r="R16" i="2"/>
  <c r="P15" i="2"/>
  <c r="N14" i="2"/>
  <c r="Y13" i="2"/>
  <c r="W27" i="2"/>
  <c r="U26" i="2"/>
  <c r="S25" i="2"/>
  <c r="Q24" i="2"/>
  <c r="O23" i="2"/>
  <c r="M22" i="2"/>
  <c r="Y20" i="2"/>
  <c r="W19" i="2"/>
  <c r="U18" i="2"/>
  <c r="S17" i="2"/>
  <c r="Q16" i="2"/>
  <c r="O15" i="2"/>
  <c r="M14" i="2"/>
  <c r="X13" i="2"/>
  <c r="V27" i="2"/>
  <c r="T26" i="2"/>
  <c r="R25" i="2"/>
  <c r="P24" i="2"/>
  <c r="N23" i="2"/>
  <c r="L22" i="2"/>
  <c r="X20" i="2"/>
  <c r="V19" i="2"/>
  <c r="T18" i="2"/>
  <c r="R17" i="2"/>
  <c r="P16" i="2"/>
  <c r="N15" i="2"/>
  <c r="L14" i="2"/>
  <c r="W13" i="2"/>
  <c r="U27" i="2"/>
  <c r="S26" i="2"/>
  <c r="Q25" i="2"/>
  <c r="O24" i="2"/>
  <c r="M23" i="2"/>
  <c r="Y21" i="2"/>
  <c r="W20" i="2"/>
  <c r="U19" i="2"/>
  <c r="S18" i="2"/>
  <c r="Q17" i="2"/>
  <c r="O16" i="2"/>
  <c r="M15" i="2"/>
  <c r="V13" i="2"/>
  <c r="T27" i="2"/>
  <c r="R26" i="2"/>
  <c r="P25" i="2"/>
  <c r="N24" i="2"/>
  <c r="L23" i="2"/>
  <c r="X21" i="2"/>
  <c r="V20" i="2"/>
  <c r="T19" i="2"/>
  <c r="R18" i="2"/>
  <c r="P17" i="2"/>
  <c r="N16" i="2"/>
  <c r="L15" i="2"/>
  <c r="U13" i="2"/>
  <c r="S27" i="2"/>
  <c r="Q26" i="2"/>
  <c r="O25" i="2"/>
  <c r="M24" i="2"/>
  <c r="Y22" i="2"/>
  <c r="W21" i="2"/>
  <c r="U20" i="2"/>
  <c r="S19" i="2"/>
  <c r="Q18" i="2"/>
  <c r="O17" i="2"/>
  <c r="M16" i="2"/>
  <c r="Y14" i="2"/>
  <c r="T13" i="2"/>
  <c r="R27" i="2"/>
  <c r="P26" i="2"/>
  <c r="N25" i="2"/>
  <c r="L24" i="2"/>
  <c r="X22" i="2"/>
  <c r="V21" i="2"/>
  <c r="T20" i="2"/>
  <c r="R19" i="2"/>
  <c r="P18" i="2"/>
  <c r="N17" i="2"/>
  <c r="L16" i="2"/>
  <c r="X14" i="2"/>
  <c r="S13" i="2"/>
  <c r="Q27" i="2"/>
  <c r="O26" i="2"/>
  <c r="M25" i="2"/>
  <c r="Y23" i="2"/>
  <c r="W22" i="2"/>
  <c r="U21" i="2"/>
  <c r="S20" i="2"/>
  <c r="Q19" i="2"/>
  <c r="O18" i="2"/>
  <c r="M17" i="2"/>
  <c r="Y15" i="2"/>
  <c r="W14" i="2"/>
  <c r="R13" i="2"/>
  <c r="P27" i="2"/>
  <c r="N26" i="2"/>
  <c r="L25" i="2"/>
  <c r="X23" i="2"/>
  <c r="V22" i="2"/>
  <c r="T21" i="2"/>
  <c r="R20" i="2"/>
  <c r="P19" i="2"/>
  <c r="N18" i="2"/>
  <c r="L17" i="2"/>
  <c r="X15" i="2"/>
  <c r="V14" i="2"/>
  <c r="Q13" i="2"/>
  <c r="O27" i="2"/>
  <c r="M26" i="2"/>
  <c r="Y24" i="2"/>
  <c r="W23" i="2"/>
  <c r="U22" i="2"/>
  <c r="S21" i="2"/>
  <c r="Q20" i="2"/>
  <c r="O19" i="2"/>
  <c r="M18" i="2"/>
  <c r="Y16" i="2"/>
  <c r="W15" i="2"/>
  <c r="U14" i="2"/>
  <c r="P13" i="2"/>
  <c r="N27" i="2"/>
  <c r="L26" i="2"/>
  <c r="X24" i="2"/>
  <c r="V23" i="2"/>
  <c r="T22" i="2"/>
  <c r="R21" i="2"/>
  <c r="P20" i="2"/>
  <c r="N19" i="2"/>
  <c r="L18" i="2"/>
  <c r="X16" i="2"/>
  <c r="V15" i="2"/>
  <c r="T14" i="2"/>
  <c r="O13" i="2"/>
  <c r="M27" i="2"/>
  <c r="Y25" i="2"/>
  <c r="W24" i="2"/>
  <c r="U23" i="2"/>
  <c r="S22" i="2"/>
  <c r="Q21" i="2"/>
  <c r="O20" i="2"/>
  <c r="M19" i="2"/>
  <c r="Y17" i="2"/>
  <c r="W16" i="2"/>
  <c r="U15" i="2"/>
  <c r="S14" i="2"/>
  <c r="N13" i="2"/>
  <c r="X25" i="2"/>
  <c r="V24" i="2"/>
  <c r="T23" i="2"/>
  <c r="R22" i="2"/>
  <c r="P21" i="2"/>
  <c r="N20" i="2"/>
  <c r="X17" i="2"/>
  <c r="V16" i="2"/>
  <c r="T15" i="2"/>
  <c r="R14" i="2"/>
  <c r="M13" i="2"/>
  <c r="Y26" i="2"/>
  <c r="W25" i="2"/>
  <c r="U24" i="2"/>
  <c r="S23" i="2"/>
  <c r="Q22" i="2"/>
  <c r="O21" i="2"/>
  <c r="M20" i="2"/>
  <c r="Y18" i="2"/>
  <c r="W17" i="2"/>
  <c r="U16" i="2"/>
  <c r="S15" i="2"/>
  <c r="Q14" i="2"/>
  <c r="H24" i="2"/>
  <c r="K27" i="2"/>
  <c r="I27" i="2"/>
  <c r="H27" i="2"/>
  <c r="J27" i="2"/>
  <c r="K26" i="2"/>
  <c r="J26" i="2"/>
  <c r="I26" i="2"/>
  <c r="H26" i="2"/>
  <c r="J25" i="2"/>
  <c r="K25" i="2"/>
  <c r="I25" i="2"/>
  <c r="H25" i="2"/>
  <c r="K22" i="2"/>
  <c r="I24" i="2"/>
  <c r="J24" i="2"/>
  <c r="K24" i="2"/>
  <c r="K23" i="2"/>
  <c r="H23" i="2"/>
  <c r="I23" i="2"/>
  <c r="J23" i="2"/>
  <c r="H19" i="2"/>
  <c r="I13" i="2"/>
  <c r="H22" i="2"/>
  <c r="I22" i="2"/>
  <c r="J22" i="2"/>
  <c r="H21" i="2"/>
  <c r="I21" i="2"/>
  <c r="J21" i="2"/>
  <c r="K21" i="2"/>
  <c r="H13" i="2"/>
  <c r="J13" i="2"/>
  <c r="K13" i="2"/>
  <c r="J20" i="2"/>
  <c r="K17" i="2"/>
  <c r="J17" i="2"/>
  <c r="H17" i="2"/>
  <c r="I17" i="2"/>
  <c r="H14" i="2"/>
  <c r="I14" i="2"/>
  <c r="J14" i="2"/>
  <c r="K14" i="2"/>
  <c r="H15" i="2"/>
  <c r="I15" i="2"/>
  <c r="J15" i="2"/>
  <c r="K15" i="2"/>
  <c r="H18" i="2"/>
  <c r="I18" i="2"/>
  <c r="J18" i="2"/>
  <c r="K18" i="2"/>
  <c r="H16" i="2"/>
  <c r="I16" i="2"/>
  <c r="J16" i="2"/>
  <c r="K16" i="2"/>
  <c r="K20" i="2"/>
  <c r="I20" i="2"/>
  <c r="H20" i="2"/>
  <c r="K19" i="2"/>
  <c r="J19" i="2"/>
  <c r="I19" i="2"/>
  <c r="O20" i="11" l="1"/>
  <c r="K20" i="11"/>
  <c r="Y20" i="11"/>
  <c r="I20" i="11"/>
  <c r="X20" i="11"/>
  <c r="H20" i="11"/>
  <c r="W20" i="11"/>
  <c r="P20" i="11"/>
  <c r="J20" i="11"/>
  <c r="Q20" i="11"/>
  <c r="X17" i="11"/>
  <c r="I17" i="11"/>
  <c r="K17" i="11"/>
  <c r="T24" i="11"/>
  <c r="Y24" i="11"/>
  <c r="J17" i="11"/>
  <c r="N26" i="11"/>
  <c r="K26" i="11"/>
  <c r="M26" i="11"/>
  <c r="N31" i="11"/>
  <c r="O24" i="11"/>
  <c r="M31" i="11"/>
  <c r="L31" i="11"/>
  <c r="T26" i="11"/>
  <c r="K31" i="11"/>
  <c r="O26" i="11"/>
  <c r="J31" i="11"/>
  <c r="Y31" i="11"/>
  <c r="Y17" i="11"/>
  <c r="L26" i="11"/>
  <c r="Q26" i="11"/>
  <c r="H17" i="11"/>
  <c r="Y26" i="11"/>
  <c r="W17" i="11"/>
  <c r="I26" i="11"/>
  <c r="V17" i="11"/>
  <c r="X26" i="11"/>
  <c r="I31" i="11"/>
  <c r="U17" i="11"/>
  <c r="H26" i="11"/>
  <c r="X31" i="11"/>
  <c r="W26" i="11"/>
  <c r="P17" i="11"/>
  <c r="V31" i="11"/>
  <c r="Q18" i="11"/>
  <c r="V26" i="11"/>
  <c r="T31" i="11"/>
  <c r="P18" i="11"/>
  <c r="U26" i="11"/>
  <c r="U31" i="11"/>
  <c r="T17" i="11"/>
  <c r="O18" i="11"/>
  <c r="S31" i="11"/>
  <c r="N17" i="11"/>
  <c r="S17" i="11"/>
  <c r="R31" i="11"/>
  <c r="J26" i="11"/>
  <c r="M17" i="11"/>
  <c r="R17" i="11"/>
  <c r="Q31" i="11"/>
  <c r="L17" i="11"/>
  <c r="Q17" i="11"/>
  <c r="P31" i="11"/>
  <c r="J26" i="13"/>
  <c r="K17" i="13"/>
  <c r="W22" i="13"/>
  <c r="X25" i="13"/>
  <c r="J21" i="13"/>
  <c r="L21" i="13"/>
  <c r="Y22" i="13"/>
  <c r="K14" i="13"/>
  <c r="K21" i="13"/>
  <c r="N25" i="13"/>
  <c r="M21" i="13"/>
  <c r="W25" i="13"/>
  <c r="Y24" i="13"/>
  <c r="T16" i="13"/>
  <c r="M25" i="13"/>
  <c r="L29" i="13"/>
  <c r="J24" i="13"/>
  <c r="P16" i="13"/>
  <c r="N22" i="13"/>
  <c r="P29" i="13"/>
  <c r="O24" i="13"/>
  <c r="Q16" i="13"/>
  <c r="N21" i="13"/>
  <c r="T29" i="13"/>
  <c r="P24" i="13"/>
  <c r="L25" i="13"/>
  <c r="U29" i="13"/>
  <c r="K24" i="13"/>
  <c r="I30" i="13"/>
  <c r="V29" i="13"/>
  <c r="L24" i="13"/>
  <c r="O23" i="13"/>
  <c r="P23" i="13"/>
  <c r="J23" i="13"/>
  <c r="S25" i="13"/>
  <c r="K25" i="13"/>
  <c r="O21" i="13"/>
  <c r="T25" i="13"/>
  <c r="Q25" i="13"/>
  <c r="N30" i="13"/>
  <c r="S21" i="13"/>
  <c r="P19" i="13"/>
  <c r="X23" i="13"/>
  <c r="P25" i="13"/>
  <c r="T21" i="13"/>
  <c r="R19" i="13"/>
  <c r="Q21" i="13"/>
  <c r="Q22" i="13"/>
  <c r="J25" i="13"/>
  <c r="H21" i="13"/>
  <c r="X21" i="13"/>
  <c r="L23" i="13"/>
  <c r="Q19" i="13"/>
  <c r="Y25" i="13"/>
  <c r="R21" i="13"/>
  <c r="O25" i="13"/>
  <c r="I25" i="13"/>
  <c r="O29" i="13"/>
  <c r="I21" i="13"/>
  <c r="K30" i="13"/>
  <c r="M17" i="13"/>
  <c r="H17" i="13"/>
  <c r="O17" i="13"/>
  <c r="I22" i="13"/>
  <c r="H30" i="13"/>
  <c r="J17" i="13"/>
  <c r="M30" i="13"/>
  <c r="X17" i="13"/>
  <c r="T22" i="13"/>
  <c r="P22" i="13"/>
  <c r="L17" i="13"/>
  <c r="Q30" i="13"/>
  <c r="R30" i="13"/>
  <c r="O30" i="13"/>
  <c r="Q17" i="13"/>
  <c r="M22" i="13"/>
  <c r="M14" i="13"/>
  <c r="X22" i="13"/>
  <c r="T30" i="13"/>
  <c r="J30" i="13"/>
  <c r="R14" i="13"/>
  <c r="N17" i="13"/>
  <c r="L14" i="13"/>
  <c r="H22" i="13"/>
  <c r="R15" i="13"/>
  <c r="S30" i="13"/>
  <c r="U30" i="13"/>
  <c r="R22" i="13"/>
  <c r="I14" i="13"/>
  <c r="I16" i="13"/>
  <c r="W30" i="13"/>
  <c r="Y17" i="13"/>
  <c r="I23" i="13"/>
  <c r="P30" i="13"/>
  <c r="S17" i="13"/>
  <c r="L30" i="13"/>
  <c r="I17" i="13"/>
  <c r="Y23" i="13"/>
  <c r="O14" i="13"/>
  <c r="T14" i="13"/>
  <c r="X14" i="13"/>
  <c r="J14" i="13"/>
  <c r="M23" i="13"/>
  <c r="Y21" i="13"/>
  <c r="V22" i="13"/>
  <c r="V17" i="13"/>
  <c r="R17" i="13"/>
  <c r="W17" i="13"/>
  <c r="O22" i="13"/>
  <c r="Y30" i="13"/>
  <c r="J22" i="13"/>
  <c r="W14" i="13"/>
  <c r="N23" i="13"/>
  <c r="T17" i="13"/>
  <c r="Q26" i="13"/>
  <c r="Y16" i="13"/>
  <c r="W16" i="13"/>
  <c r="R26" i="13"/>
  <c r="R16" i="13"/>
  <c r="S19" i="13"/>
  <c r="S26" i="13"/>
  <c r="O16" i="13"/>
  <c r="M16" i="13"/>
  <c r="U26" i="13"/>
  <c r="T19" i="13"/>
  <c r="Q31" i="13"/>
  <c r="K16" i="13"/>
  <c r="V26" i="13"/>
  <c r="U19" i="13"/>
  <c r="V19" i="13"/>
  <c r="Q23" i="13"/>
  <c r="W19" i="13"/>
  <c r="H31" i="13"/>
  <c r="Y29" i="13"/>
  <c r="S23" i="13"/>
  <c r="P28" i="13"/>
  <c r="H19" i="13"/>
  <c r="T23" i="13"/>
  <c r="X19" i="13"/>
  <c r="I31" i="13"/>
  <c r="J29" i="13"/>
  <c r="U23" i="13"/>
  <c r="U21" i="13"/>
  <c r="Y28" i="13"/>
  <c r="U25" i="13"/>
  <c r="I19" i="13"/>
  <c r="P31" i="13"/>
  <c r="M19" i="13"/>
  <c r="T31" i="13"/>
  <c r="I28" i="13"/>
  <c r="T28" i="13"/>
  <c r="K31" i="13"/>
  <c r="R18" i="13"/>
  <c r="W23" i="13"/>
  <c r="P21" i="13"/>
  <c r="U28" i="13"/>
  <c r="R25" i="13"/>
  <c r="N19" i="13"/>
  <c r="K26" i="13"/>
  <c r="N13" i="13"/>
  <c r="R31" i="13"/>
  <c r="U13" i="13"/>
  <c r="K29" i="13"/>
  <c r="V23" i="13"/>
  <c r="V21" i="13"/>
  <c r="X30" i="13"/>
  <c r="V31" i="13"/>
  <c r="U18" i="13"/>
  <c r="H23" i="13"/>
  <c r="I24" i="13"/>
  <c r="O19" i="13"/>
  <c r="L18" i="13"/>
  <c r="T26" i="13"/>
  <c r="S15" i="13"/>
  <c r="W26" i="13"/>
  <c r="S13" i="13"/>
  <c r="S31" i="13"/>
  <c r="L16" i="13"/>
  <c r="X13" i="13"/>
  <c r="T13" i="13"/>
  <c r="H13" i="13"/>
  <c r="H26" i="13"/>
  <c r="R13" i="13"/>
  <c r="K13" i="13"/>
  <c r="X26" i="13"/>
  <c r="H28" i="13"/>
  <c r="Y31" i="13"/>
  <c r="L26" i="13"/>
  <c r="Y19" i="13"/>
  <c r="O31" i="13"/>
  <c r="X16" i="13"/>
  <c r="M26" i="13"/>
  <c r="Q28" i="13"/>
  <c r="S16" i="13"/>
  <c r="J19" i="13"/>
  <c r="H16" i="13"/>
  <c r="H29" i="13"/>
  <c r="K23" i="13"/>
  <c r="N26" i="13"/>
  <c r="R28" i="13"/>
  <c r="N16" i="13"/>
  <c r="V16" i="13"/>
  <c r="K19" i="13"/>
  <c r="O26" i="13"/>
  <c r="S28" i="13"/>
  <c r="U16" i="13"/>
  <c r="K15" i="13"/>
  <c r="Q13" i="13"/>
  <c r="L13" i="13"/>
  <c r="P13" i="13"/>
  <c r="O13" i="13"/>
  <c r="I13" i="13"/>
  <c r="V28" i="13"/>
  <c r="W13" i="13"/>
  <c r="X31" i="13"/>
  <c r="N24" i="13"/>
  <c r="L31" i="13"/>
  <c r="W28" i="13"/>
  <c r="R24" i="13"/>
  <c r="J13" i="13"/>
  <c r="M31" i="13"/>
  <c r="V13" i="13"/>
  <c r="Q29" i="13"/>
  <c r="K28" i="13"/>
  <c r="T24" i="13"/>
  <c r="W31" i="13"/>
  <c r="R29" i="13"/>
  <c r="P26" i="13"/>
  <c r="L28" i="13"/>
  <c r="W24" i="13"/>
  <c r="M13" i="13"/>
  <c r="N31" i="13"/>
  <c r="J31" i="13"/>
  <c r="S29" i="13"/>
  <c r="I26" i="13"/>
  <c r="M28" i="13"/>
  <c r="H24" i="13"/>
  <c r="T18" i="13"/>
  <c r="N28" i="13"/>
  <c r="X24" i="13"/>
  <c r="K18" i="13"/>
  <c r="P32" i="13"/>
  <c r="O15" i="13"/>
  <c r="J15" i="13"/>
  <c r="Q32" i="13"/>
  <c r="P15" i="13"/>
  <c r="S18" i="13"/>
  <c r="R32" i="13"/>
  <c r="Q15" i="13"/>
  <c r="V32" i="13"/>
  <c r="T32" i="13"/>
  <c r="V18" i="13"/>
  <c r="M32" i="13"/>
  <c r="M15" i="13"/>
  <c r="T15" i="13"/>
  <c r="W18" i="13"/>
  <c r="U15" i="13"/>
  <c r="W32" i="13"/>
  <c r="H18" i="13"/>
  <c r="H32" i="13"/>
  <c r="V15" i="13"/>
  <c r="U32" i="13"/>
  <c r="X18" i="13"/>
  <c r="X32" i="13"/>
  <c r="W15" i="13"/>
  <c r="J18" i="13"/>
  <c r="I18" i="13"/>
  <c r="I32" i="13"/>
  <c r="N15" i="13"/>
  <c r="S24" i="13"/>
  <c r="M18" i="13"/>
  <c r="N18" i="13"/>
  <c r="Y18" i="13"/>
  <c r="Y32" i="13"/>
  <c r="H15" i="13"/>
  <c r="O18" i="13"/>
  <c r="K32" i="13"/>
  <c r="L32" i="13"/>
  <c r="X15" i="13"/>
  <c r="X28" i="13"/>
  <c r="U24" i="13"/>
  <c r="S32" i="13"/>
  <c r="P18" i="13"/>
  <c r="N32" i="13"/>
  <c r="J32" i="13"/>
  <c r="I15" i="13"/>
  <c r="J28" i="13"/>
  <c r="Q24" i="13"/>
  <c r="L15" i="13"/>
  <c r="H18" i="11"/>
  <c r="R24" i="11"/>
  <c r="O22" i="11"/>
  <c r="M13" i="11"/>
  <c r="H13" i="11"/>
  <c r="T22" i="11"/>
  <c r="N24" i="11"/>
  <c r="M24" i="11"/>
  <c r="L24" i="11"/>
  <c r="K13" i="11"/>
  <c r="K24" i="11"/>
  <c r="O14" i="11"/>
  <c r="J24" i="11"/>
  <c r="S26" i="11"/>
  <c r="N14" i="11"/>
  <c r="X24" i="11"/>
  <c r="R26" i="11"/>
  <c r="L14" i="11"/>
  <c r="H24" i="11"/>
  <c r="H31" i="11"/>
  <c r="J14" i="11"/>
  <c r="N18" i="11"/>
  <c r="W24" i="11"/>
  <c r="S24" i="11"/>
  <c r="W31" i="11"/>
  <c r="M14" i="11"/>
  <c r="R15" i="11"/>
  <c r="P13" i="11"/>
  <c r="L29" i="11"/>
  <c r="N15" i="11"/>
  <c r="M18" i="11"/>
  <c r="N22" i="11"/>
  <c r="U24" i="11"/>
  <c r="S29" i="11"/>
  <c r="R27" i="11"/>
  <c r="K15" i="11"/>
  <c r="L18" i="11"/>
  <c r="M22" i="11"/>
  <c r="P29" i="11"/>
  <c r="T18" i="11"/>
  <c r="T15" i="11"/>
  <c r="K18" i="11"/>
  <c r="K22" i="11"/>
  <c r="S22" i="11"/>
  <c r="R14" i="11"/>
  <c r="J18" i="11"/>
  <c r="H22" i="11"/>
  <c r="Q22" i="11"/>
  <c r="Y14" i="11"/>
  <c r="Y18" i="11"/>
  <c r="W22" i="11"/>
  <c r="R22" i="11"/>
  <c r="Q14" i="11"/>
  <c r="I18" i="11"/>
  <c r="V22" i="11"/>
  <c r="P22" i="11"/>
  <c r="P14" i="11"/>
  <c r="X18" i="11"/>
  <c r="U22" i="11"/>
  <c r="L13" i="11"/>
  <c r="N16" i="11"/>
  <c r="S27" i="11"/>
  <c r="T27" i="11"/>
  <c r="O27" i="11"/>
  <c r="K14" i="11"/>
  <c r="L22" i="11"/>
  <c r="S18" i="11"/>
  <c r="X14" i="11"/>
  <c r="W18" i="11"/>
  <c r="J22" i="11"/>
  <c r="I28" i="11"/>
  <c r="V24" i="11"/>
  <c r="P15" i="11"/>
  <c r="T14" i="11"/>
  <c r="H14" i="11"/>
  <c r="V18" i="11"/>
  <c r="Y22" i="11"/>
  <c r="W28" i="11"/>
  <c r="I24" i="11"/>
  <c r="Q15" i="11"/>
  <c r="I14" i="11"/>
  <c r="V14" i="11"/>
  <c r="U18" i="11"/>
  <c r="I22" i="11"/>
  <c r="N29" i="11"/>
  <c r="P24" i="11"/>
  <c r="O15" i="11"/>
  <c r="S14" i="11"/>
  <c r="W14" i="11"/>
  <c r="M29" i="11"/>
  <c r="M16" i="11"/>
  <c r="X28" i="11"/>
  <c r="V13" i="11"/>
  <c r="H28" i="11"/>
  <c r="W13" i="11"/>
  <c r="M15" i="11"/>
  <c r="L15" i="11"/>
  <c r="U28" i="11"/>
  <c r="X13" i="11"/>
  <c r="M30" i="11"/>
  <c r="Y15" i="11"/>
  <c r="L30" i="11"/>
  <c r="R29" i="11"/>
  <c r="O13" i="11"/>
  <c r="I15" i="11"/>
  <c r="R16" i="11"/>
  <c r="N27" i="11"/>
  <c r="K30" i="11"/>
  <c r="O29" i="11"/>
  <c r="X15" i="11"/>
  <c r="Q16" i="11"/>
  <c r="M27" i="11"/>
  <c r="H15" i="11"/>
  <c r="P16" i="11"/>
  <c r="W27" i="11"/>
  <c r="W15" i="11"/>
  <c r="J28" i="11"/>
  <c r="Q25" i="11"/>
  <c r="S13" i="11"/>
  <c r="U15" i="11"/>
  <c r="Y28" i="11"/>
  <c r="V15" i="11"/>
  <c r="N30" i="11"/>
  <c r="V28" i="11"/>
  <c r="P28" i="11"/>
  <c r="L16" i="11"/>
  <c r="L27" i="11"/>
  <c r="K29" i="11"/>
  <c r="Y16" i="11"/>
  <c r="K27" i="11"/>
  <c r="J29" i="11"/>
  <c r="I16" i="11"/>
  <c r="J27" i="11"/>
  <c r="X29" i="11"/>
  <c r="I27" i="11"/>
  <c r="X16" i="11"/>
  <c r="X27" i="11"/>
  <c r="U29" i="11"/>
  <c r="P27" i="11"/>
  <c r="S15" i="11"/>
  <c r="H27" i="11"/>
  <c r="T29" i="11"/>
  <c r="Q27" i="11"/>
  <c r="O25" i="11"/>
  <c r="N25" i="11"/>
  <c r="M25" i="11"/>
  <c r="L25" i="11"/>
  <c r="K25" i="11"/>
  <c r="H30" i="11"/>
  <c r="S21" i="11"/>
  <c r="W30" i="11"/>
  <c r="T21" i="11"/>
  <c r="P23" i="11"/>
  <c r="P21" i="11"/>
  <c r="H16" i="11"/>
  <c r="U21" i="11"/>
  <c r="R13" i="11"/>
  <c r="W16" i="11"/>
  <c r="V21" i="11"/>
  <c r="H29" i="11"/>
  <c r="U27" i="11"/>
  <c r="I13" i="11"/>
  <c r="T13" i="11"/>
  <c r="T16" i="11"/>
  <c r="W21" i="11"/>
  <c r="L28" i="11"/>
  <c r="W29" i="11"/>
  <c r="V27" i="11"/>
  <c r="Q30" i="11"/>
  <c r="U13" i="11"/>
  <c r="S16" i="11"/>
  <c r="H21" i="11"/>
  <c r="K28" i="11"/>
  <c r="V29" i="11"/>
  <c r="O30" i="11"/>
  <c r="X21" i="11"/>
  <c r="I21" i="11"/>
  <c r="Y21" i="11"/>
  <c r="J21" i="11"/>
  <c r="R30" i="11"/>
  <c r="K21" i="11"/>
  <c r="T28" i="11"/>
  <c r="P30" i="11"/>
  <c r="L21" i="11"/>
  <c r="J30" i="11"/>
  <c r="S30" i="11"/>
  <c r="M21" i="11"/>
  <c r="Y30" i="11"/>
  <c r="S28" i="11"/>
  <c r="T30" i="11"/>
  <c r="K16" i="11"/>
  <c r="V16" i="11"/>
  <c r="N28" i="11"/>
  <c r="Y29" i="11"/>
  <c r="I30" i="11"/>
  <c r="R28" i="11"/>
  <c r="U30" i="11"/>
  <c r="J16" i="11"/>
  <c r="U16" i="11"/>
  <c r="M28" i="11"/>
  <c r="I29" i="11"/>
  <c r="X30" i="11"/>
  <c r="Q28" i="11"/>
  <c r="U23" i="11"/>
  <c r="V23" i="11"/>
  <c r="K23" i="11"/>
  <c r="L23" i="11"/>
  <c r="M23" i="11"/>
  <c r="J25" i="11"/>
  <c r="N23" i="11"/>
  <c r="X25" i="11"/>
  <c r="O23" i="11"/>
  <c r="W25" i="11"/>
  <c r="V25" i="11"/>
  <c r="U25" i="11"/>
  <c r="S25" i="11"/>
  <c r="R23" i="11"/>
  <c r="T25" i="11"/>
  <c r="Q23" i="11"/>
  <c r="R25" i="11"/>
  <c r="Y13" i="11"/>
  <c r="Q21" i="11"/>
  <c r="N21" i="11"/>
  <c r="S23" i="11"/>
  <c r="H25" i="11"/>
  <c r="Q13" i="11"/>
  <c r="R21" i="11"/>
  <c r="T23" i="11"/>
  <c r="P25" i="11"/>
  <c r="Y25" i="11"/>
  <c r="W23" i="11"/>
  <c r="H23" i="11"/>
  <c r="I23" i="11"/>
  <c r="X23" i="11"/>
  <c r="Y23" i="11"/>
  <c r="N13" i="11"/>
  <c r="J13" i="11"/>
  <c r="Y9" i="5"/>
  <c r="Y10" i="5" s="1"/>
  <c r="Y9" i="2"/>
  <c r="Y10" i="2" s="1"/>
  <c r="M9" i="5"/>
  <c r="M10" i="5" s="1"/>
  <c r="L9" i="5"/>
  <c r="L10" i="5" s="1"/>
  <c r="I9" i="5"/>
  <c r="I10" i="5" s="1"/>
  <c r="W9" i="5"/>
  <c r="W10" i="5" s="1"/>
  <c r="J9" i="5"/>
  <c r="J10" i="5" s="1"/>
  <c r="U9" i="5"/>
  <c r="U10" i="5" s="1"/>
  <c r="P9" i="5"/>
  <c r="P10" i="5" s="1"/>
  <c r="K9" i="5"/>
  <c r="K10" i="5" s="1"/>
  <c r="X9" i="5"/>
  <c r="X10" i="5" s="1"/>
  <c r="Q9" i="5"/>
  <c r="Q10" i="5" s="1"/>
  <c r="R9" i="5"/>
  <c r="R10" i="5" s="1"/>
  <c r="H9" i="5"/>
  <c r="H10" i="5" s="1"/>
  <c r="S9" i="5"/>
  <c r="S10" i="5" s="1"/>
  <c r="T9" i="5"/>
  <c r="T10" i="5" s="1"/>
  <c r="V9" i="5"/>
  <c r="V10" i="5" s="1"/>
  <c r="N9" i="5"/>
  <c r="N10" i="5" s="1"/>
  <c r="O9" i="5"/>
  <c r="O10" i="5" s="1"/>
  <c r="L9" i="2"/>
  <c r="L10" i="2" s="1"/>
  <c r="O9" i="2"/>
  <c r="O10" i="2" s="1"/>
  <c r="S9" i="2"/>
  <c r="S10" i="2" s="1"/>
  <c r="T9" i="2"/>
  <c r="T10" i="2" s="1"/>
  <c r="Q9" i="2"/>
  <c r="Q10" i="2" s="1"/>
  <c r="V9" i="2"/>
  <c r="V10" i="2" s="1"/>
  <c r="M9" i="2"/>
  <c r="M10" i="2" s="1"/>
  <c r="R9" i="2"/>
  <c r="R10" i="2" s="1"/>
  <c r="P9" i="2"/>
  <c r="P10" i="2" s="1"/>
  <c r="N9" i="2"/>
  <c r="N10" i="2" s="1"/>
  <c r="X9" i="2"/>
  <c r="X10" i="2" s="1"/>
  <c r="W9" i="2"/>
  <c r="W10" i="2" s="1"/>
  <c r="U9" i="2"/>
  <c r="U10" i="2" s="1"/>
  <c r="H9" i="2"/>
  <c r="H10" i="2" s="1"/>
  <c r="J9" i="2"/>
  <c r="J10" i="2" s="1"/>
  <c r="I9" i="2"/>
  <c r="I10" i="2" s="1"/>
  <c r="K9" i="2"/>
  <c r="K10" i="2" s="1"/>
  <c r="U9" i="11" l="1"/>
  <c r="K9" i="13"/>
  <c r="K10" i="13" s="1"/>
  <c r="Y9" i="13"/>
  <c r="Y10" i="13" s="1"/>
  <c r="R9" i="13"/>
  <c r="R10" i="13" s="1"/>
  <c r="L9" i="13"/>
  <c r="L10" i="13" s="1"/>
  <c r="O9" i="13"/>
  <c r="O10" i="13" s="1"/>
  <c r="I9" i="13"/>
  <c r="I10" i="13" s="1"/>
  <c r="T9" i="13"/>
  <c r="T10" i="13" s="1"/>
  <c r="J9" i="13"/>
  <c r="J10" i="13" s="1"/>
  <c r="V9" i="13"/>
  <c r="V10" i="13" s="1"/>
  <c r="Q9" i="13"/>
  <c r="Q10" i="13" s="1"/>
  <c r="H9" i="13"/>
  <c r="H10" i="13" s="1"/>
  <c r="W9" i="13"/>
  <c r="W10" i="13" s="1"/>
  <c r="X9" i="13"/>
  <c r="X10" i="13" s="1"/>
  <c r="U9" i="13"/>
  <c r="U4" i="13" s="1"/>
  <c r="S9" i="13"/>
  <c r="S10" i="13" s="1"/>
  <c r="N9" i="13"/>
  <c r="N10" i="13" s="1"/>
  <c r="P9" i="13"/>
  <c r="P10" i="13" s="1"/>
  <c r="M9" i="13"/>
  <c r="M10" i="13" s="1"/>
  <c r="H9" i="11"/>
  <c r="H10" i="11" s="1"/>
  <c r="P9" i="11"/>
  <c r="P10" i="11" s="1"/>
  <c r="L9" i="11"/>
  <c r="L10" i="11" s="1"/>
  <c r="T9" i="11"/>
  <c r="T10" i="11" s="1"/>
  <c r="O9" i="11"/>
  <c r="O10" i="11" s="1"/>
  <c r="N9" i="11"/>
  <c r="N10" i="11" s="1"/>
  <c r="K9" i="11"/>
  <c r="I9" i="11"/>
  <c r="I10" i="11" s="1"/>
  <c r="S9" i="11"/>
  <c r="S10" i="11" s="1"/>
  <c r="X9" i="11"/>
  <c r="X10" i="11" s="1"/>
  <c r="W9" i="11"/>
  <c r="W10" i="11" s="1"/>
  <c r="V9" i="11"/>
  <c r="V10" i="11" s="1"/>
  <c r="Y9" i="11"/>
  <c r="Y10" i="11" s="1"/>
  <c r="M9" i="11"/>
  <c r="M10" i="11" s="1"/>
  <c r="Q9" i="11"/>
  <c r="Q10" i="11" s="1"/>
  <c r="R9" i="11"/>
  <c r="R10" i="11" s="1"/>
  <c r="J9" i="11"/>
  <c r="U4" i="11" l="1"/>
  <c r="U10" i="11" s="1"/>
  <c r="U6" i="11"/>
  <c r="U6" i="13"/>
  <c r="U10" i="13" s="1"/>
  <c r="K10" i="11"/>
  <c r="J10" i="11"/>
</calcChain>
</file>

<file path=xl/sharedStrings.xml><?xml version="1.0" encoding="utf-8"?>
<sst xmlns="http://schemas.openxmlformats.org/spreadsheetml/2006/main" count="832" uniqueCount="257">
  <si>
    <t>food_barcode</t>
  </si>
  <si>
    <t>food_id</t>
  </si>
  <si>
    <t>food_name</t>
  </si>
  <si>
    <t>metric_serving_amount</t>
  </si>
  <si>
    <t>metric_serving_unit</t>
  </si>
  <si>
    <t>calories</t>
  </si>
  <si>
    <t>fat</t>
  </si>
  <si>
    <t>carbohydrate</t>
  </si>
  <si>
    <t>protein</t>
  </si>
  <si>
    <t>serving_description_num</t>
  </si>
  <si>
    <t>serving_description_measurement</t>
  </si>
  <si>
    <t>078742369266</t>
  </si>
  <si>
    <t>041570110621</t>
  </si>
  <si>
    <t>705016331505</t>
  </si>
  <si>
    <t>027917022703</t>
  </si>
  <si>
    <t>745042001553</t>
  </si>
  <si>
    <t>034856008187</t>
  </si>
  <si>
    <t>3497878</t>
  </si>
  <si>
    <t>41694</t>
  </si>
  <si>
    <t>4690697</t>
  </si>
  <si>
    <t>2325541</t>
  </si>
  <si>
    <t>14027626</t>
  </si>
  <si>
    <t>5723381</t>
  </si>
  <si>
    <t>Lowfat Yogurt - Vanilla</t>
  </si>
  <si>
    <t>Whole Natural Almonds</t>
  </si>
  <si>
    <t>Super Mass Gainer</t>
  </si>
  <si>
    <t>MultiVites Gummy Vitamins</t>
  </si>
  <si>
    <t>Fruit Snacks Mixed Fruit (25.5g)</t>
  </si>
  <si>
    <t>g</t>
  </si>
  <si>
    <t>oz</t>
  </si>
  <si>
    <t>cup</t>
  </si>
  <si>
    <t>nuts</t>
  </si>
  <si>
    <t>scoops</t>
  </si>
  <si>
    <t>gummies</t>
  </si>
  <si>
    <t>package</t>
  </si>
  <si>
    <t>Basmati Rice (cooked)</t>
  </si>
  <si>
    <t>078742146294</t>
  </si>
  <si>
    <t>28227427</t>
  </si>
  <si>
    <t>Frozen Bananas</t>
  </si>
  <si>
    <t>041383090707</t>
  </si>
  <si>
    <t>233630</t>
  </si>
  <si>
    <t>100% Lactose Free Fat Free Milk</t>
  </si>
  <si>
    <t>ml</t>
  </si>
  <si>
    <t>proportion</t>
  </si>
  <si>
    <t>078742158792</t>
  </si>
  <si>
    <t>12239748</t>
  </si>
  <si>
    <t>String Cheese</t>
  </si>
  <si>
    <t>stick</t>
  </si>
  <si>
    <t>078742083360</t>
  </si>
  <si>
    <t>102340</t>
  </si>
  <si>
    <t>Extra Virgin Olive Oil</t>
  </si>
  <si>
    <t>tbsp</t>
  </si>
  <si>
    <t>Goal</t>
  </si>
  <si>
    <t>Calories</t>
  </si>
  <si>
    <t>Protein (g)</t>
  </si>
  <si>
    <t>Fat (g)</t>
  </si>
  <si>
    <t>Carbs (g)</t>
  </si>
  <si>
    <t>Weight Loss</t>
  </si>
  <si>
    <t>Leaning</t>
  </si>
  <si>
    <t>Maintenance</t>
  </si>
  <si>
    <t>Weight Gain</t>
  </si>
  <si>
    <t>Current Today</t>
  </si>
  <si>
    <t>078742133652</t>
  </si>
  <si>
    <t>42169992</t>
  </si>
  <si>
    <t>Cooked Shrimp</t>
  </si>
  <si>
    <t>fiber</t>
  </si>
  <si>
    <t>potassium</t>
  </si>
  <si>
    <t>saturated_fat</t>
  </si>
  <si>
    <t>sodium</t>
  </si>
  <si>
    <t>sugar</t>
  </si>
  <si>
    <t>trans_fat</t>
  </si>
  <si>
    <t>added_sugars</t>
  </si>
  <si>
    <t>calcium</t>
  </si>
  <si>
    <t>iron</t>
  </si>
  <si>
    <t>monounsaturated_fat</t>
  </si>
  <si>
    <t>polyunsaturated_fat</t>
  </si>
  <si>
    <t>vitamin_d</t>
  </si>
  <si>
    <t>vitamin_a</t>
  </si>
  <si>
    <t>vitamin_c</t>
  </si>
  <si>
    <t>030000012000</t>
  </si>
  <si>
    <t>4358509</t>
  </si>
  <si>
    <t>Quick Oats</t>
  </si>
  <si>
    <t>074822300006</t>
  </si>
  <si>
    <t>8389594</t>
  </si>
  <si>
    <t>100% Pure Peanut Powder</t>
  </si>
  <si>
    <t>Breakfast</t>
  </si>
  <si>
    <t>lunch</t>
  </si>
  <si>
    <t>dinner</t>
  </si>
  <si>
    <t>078742014678</t>
  </si>
  <si>
    <t>230896</t>
  </si>
  <si>
    <t>Pineapple Juice (Not from Concentrate)</t>
  </si>
  <si>
    <t>fl oz</t>
  </si>
  <si>
    <t>072878621441</t>
  </si>
  <si>
    <t>3910714</t>
  </si>
  <si>
    <t>Salsa Verde</t>
  </si>
  <si>
    <t>072878517898</t>
  </si>
  <si>
    <t>343797</t>
  </si>
  <si>
    <t>Casera Mild Salsa</t>
  </si>
  <si>
    <t>044500966503</t>
  </si>
  <si>
    <t>49722</t>
  </si>
  <si>
    <t>Deli Select Ultra Thin Honey Ham</t>
  </si>
  <si>
    <t>046100002728</t>
  </si>
  <si>
    <t>71939</t>
  </si>
  <si>
    <t>Wisconsin Extra Sharp Cheddar Cheese</t>
  </si>
  <si>
    <t>slice</t>
  </si>
  <si>
    <t>078742430218</t>
  </si>
  <si>
    <t>35617266</t>
  </si>
  <si>
    <t>Monterey Jack Cheese</t>
  </si>
  <si>
    <t>078742075761</t>
  </si>
  <si>
    <t>46836</t>
  </si>
  <si>
    <t>Black Beans</t>
  </si>
  <si>
    <t>078742371870</t>
  </si>
  <si>
    <t>274065</t>
  </si>
  <si>
    <t>Mushrooms Pieces &amp; Stems</t>
  </si>
  <si>
    <t>cup drained</t>
  </si>
  <si>
    <t>078742113784</t>
  </si>
  <si>
    <t>7186636</t>
  </si>
  <si>
    <t>Creamy Peanut Butter</t>
  </si>
  <si>
    <t>016000264601</t>
  </si>
  <si>
    <t>41938</t>
  </si>
  <si>
    <t>Crunchy Granola Bars - Oats 'N Honey</t>
  </si>
  <si>
    <t>bars</t>
  </si>
  <si>
    <t>860006036249</t>
  </si>
  <si>
    <t>51051064</t>
  </si>
  <si>
    <t>Crunchy Roasted Edamame Beans</t>
  </si>
  <si>
    <t>016000432680</t>
  </si>
  <si>
    <t>11597330</t>
  </si>
  <si>
    <t>Granola Crunch Oats &amp; Honey</t>
  </si>
  <si>
    <t>bar</t>
  </si>
  <si>
    <t>051000015273</t>
  </si>
  <si>
    <t>99669</t>
  </si>
  <si>
    <t>Cream of Chicken &amp; Mushroom Soup</t>
  </si>
  <si>
    <t>cup condensed</t>
  </si>
  <si>
    <t>072878515276</t>
  </si>
  <si>
    <t>2882112</t>
  </si>
  <si>
    <t>Nopalitos Tender Cactus</t>
  </si>
  <si>
    <t>033383666044</t>
  </si>
  <si>
    <t>7047443</t>
  </si>
  <si>
    <t>Baby-Cut Carrots</t>
  </si>
  <si>
    <t>078742346168</t>
  </si>
  <si>
    <t>47695470</t>
  </si>
  <si>
    <t>Diced Avocados (Frozen)</t>
  </si>
  <si>
    <t>Sweet and Sour Chicken</t>
  </si>
  <si>
    <t>snack 1</t>
  </si>
  <si>
    <t>snack 2</t>
  </si>
  <si>
    <t>Basmati Rice (raw)</t>
  </si>
  <si>
    <t>748927021356</t>
  </si>
  <si>
    <t>12396969</t>
  </si>
  <si>
    <t>Creatine</t>
  </si>
  <si>
    <t>tsp</t>
  </si>
  <si>
    <t>031604014162</t>
  </si>
  <si>
    <t>5384056</t>
  </si>
  <si>
    <t>Fish Oil 1200Mg</t>
  </si>
  <si>
    <t>softgels</t>
  </si>
  <si>
    <t>031604025762</t>
  </si>
  <si>
    <t>7640903</t>
  </si>
  <si>
    <t>Magnesium</t>
  </si>
  <si>
    <t>softgel</t>
  </si>
  <si>
    <t>016500540991</t>
  </si>
  <si>
    <t>54772065</t>
  </si>
  <si>
    <t>Calcium Supplement</t>
  </si>
  <si>
    <t>capsule</t>
  </si>
  <si>
    <t>080660957579</t>
  </si>
  <si>
    <t>2114632</t>
  </si>
  <si>
    <t>Beer</t>
  </si>
  <si>
    <t>bottle</t>
  </si>
  <si>
    <t>027917271736</t>
  </si>
  <si>
    <t>35053057</t>
  </si>
  <si>
    <t>Extra Strength Melatonin Gummies</t>
  </si>
  <si>
    <t>Rest day</t>
  </si>
  <si>
    <t>664183000617</t>
  </si>
  <si>
    <t>526838</t>
  </si>
  <si>
    <t>Tilapia</t>
  </si>
  <si>
    <t>serving</t>
  </si>
  <si>
    <t>753950002500</t>
  </si>
  <si>
    <t>Vitamin d3 5000iu</t>
  </si>
  <si>
    <t>715141113563</t>
  </si>
  <si>
    <t>65700</t>
  </si>
  <si>
    <t>Extra Large Grade A Eggs</t>
  </si>
  <si>
    <t>egg</t>
  </si>
  <si>
    <t>044500201994</t>
  </si>
  <si>
    <t>20386409</t>
  </si>
  <si>
    <t>Ultra Thin Oven Roasted Turkey Breast</t>
  </si>
  <si>
    <t>027331000608</t>
  </si>
  <si>
    <t>5599273</t>
  </si>
  <si>
    <t>Corn Tortillas</t>
  </si>
  <si>
    <t>tortillas</t>
  </si>
  <si>
    <t>072250037068</t>
  </si>
  <si>
    <t>205833</t>
  </si>
  <si>
    <t>Honey Wheat Sliced Bread</t>
  </si>
  <si>
    <t>MELON</t>
  </si>
  <si>
    <t>LECHUGA</t>
  </si>
  <si>
    <t>AGUACATE</t>
  </si>
  <si>
    <t>ALMENDRAS</t>
  </si>
  <si>
    <t>ARROZ</t>
  </si>
  <si>
    <t>ATUN</t>
  </si>
  <si>
    <t>can drained</t>
  </si>
  <si>
    <t>CACAHUATES</t>
  </si>
  <si>
    <t>CHAYOTE</t>
  </si>
  <si>
    <t>CREMA</t>
  </si>
  <si>
    <t>Tbsp</t>
  </si>
  <si>
    <t>ESPINACAS</t>
  </si>
  <si>
    <t>cups</t>
  </si>
  <si>
    <t>FRESAS</t>
  </si>
  <si>
    <t>Cup</t>
  </si>
  <si>
    <t>FRIJOLES</t>
  </si>
  <si>
    <t>GARBANZOS</t>
  </si>
  <si>
    <t>HUEVO</t>
  </si>
  <si>
    <t>JAMON</t>
  </si>
  <si>
    <t>JAMON DE PAVO</t>
  </si>
  <si>
    <t>JITOMATE</t>
  </si>
  <si>
    <t>LECHE</t>
  </si>
  <si>
    <t>MANZANA</t>
  </si>
  <si>
    <t>MOLIDA DE RES</t>
  </si>
  <si>
    <t>NARANJA</t>
  </si>
  <si>
    <t>NOPALES</t>
  </si>
  <si>
    <t>Cup Drained</t>
  </si>
  <si>
    <t>NUEZ</t>
  </si>
  <si>
    <t>PAN INTEGRAL</t>
  </si>
  <si>
    <t>Slice</t>
  </si>
  <si>
    <t>PAPAYA</t>
  </si>
  <si>
    <t>PASTA</t>
  </si>
  <si>
    <t>PEPINO</t>
  </si>
  <si>
    <t>PLATANO</t>
  </si>
  <si>
    <t>POLLO PECHUGA</t>
  </si>
  <si>
    <t>QUESO</t>
  </si>
  <si>
    <t>QUESO OAXACA</t>
  </si>
  <si>
    <t>SALMON</t>
  </si>
  <si>
    <t>SALSA MEXICANA</t>
  </si>
  <si>
    <t>SQUASH</t>
  </si>
  <si>
    <t>TORTILLA DE HARINA</t>
  </si>
  <si>
    <t>tortilla</t>
  </si>
  <si>
    <t>TORTILLA DE MAIZ</t>
  </si>
  <si>
    <t>Tortillas</t>
  </si>
  <si>
    <t>TOSTADAS HORNEADAS</t>
  </si>
  <si>
    <t>TOSTADAS</t>
  </si>
  <si>
    <t>UVAS</t>
  </si>
  <si>
    <t>YOGURT</t>
  </si>
  <si>
    <t>ZANAHORIA</t>
  </si>
  <si>
    <t>jitomate</t>
  </si>
  <si>
    <t>Multi</t>
  </si>
  <si>
    <t>Snack 1</t>
  </si>
  <si>
    <t>Lunch</t>
  </si>
  <si>
    <t>Snack 2</t>
  </si>
  <si>
    <t>Dinner</t>
  </si>
  <si>
    <t>Other</t>
  </si>
  <si>
    <t>Meal time</t>
  </si>
  <si>
    <t>048313061615</t>
  </si>
  <si>
    <t>42075520</t>
  </si>
  <si>
    <t>Hot Smoked Coho Salmon</t>
  </si>
  <si>
    <t>605806122347</t>
  </si>
  <si>
    <t>1503194</t>
  </si>
  <si>
    <t>Valley Fresh Steamers Broccoli Florets</t>
  </si>
  <si>
    <t>cup prepared</t>
  </si>
  <si>
    <t>Type of day</t>
  </si>
  <si>
    <t>Pending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</si>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</sst>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1" fontId="0" fillId="0" borderId="0" xfId="0" applyNumberFormat="1"/>
    <xf numFmtId="0" fontId="2" fillId="2" borderId="2" xfId="1" applyAlignment="1">
      <alignment horizontal="center" vertical="top"/>
    </xf>
    <xf numFmtId="0" fontId="3" fillId="3" borderId="2" xfId="2" applyBorder="1" applyAlignment="1">
      <alignment horizontal="center" vertical="top"/>
    </xf>
    <xf numFmtId="0" fontId="1" fillId="0" borderId="0" xfId="0" applyFont="1"/>
    <xf numFmtId="0" fontId="1" fillId="4" borderId="1" xfId="0" applyFont="1" applyFill="1" applyBorder="1"/>
    <xf numFmtId="0" fontId="3" fillId="3" borderId="1" xfId="2" applyBorder="1" applyAlignment="1">
      <alignment horizontal="center" vertical="top"/>
    </xf>
    <xf numFmtId="0" fontId="0" fillId="4" borderId="1" xfId="0" applyFill="1" applyBorder="1"/>
    <xf numFmtId="0" fontId="2" fillId="2" borderId="3" xfId="1" applyBorder="1" applyAlignment="1">
      <alignment horizontal="center" vertical="top"/>
    </xf>
    <xf numFmtId="0" fontId="0" fillId="0" borderId="4" xfId="0" applyBorder="1"/>
    <xf numFmtId="0" fontId="2" fillId="2" borderId="1" xfId="1" applyBorder="1"/>
    <xf numFmtId="0" fontId="3" fillId="3" borderId="1" xfId="2" applyBorder="1"/>
    <xf numFmtId="0" fontId="2" fillId="2" borderId="1" xfId="1" applyBorder="1" applyAlignment="1">
      <alignment horizontal="center" vertical="top"/>
    </xf>
    <xf numFmtId="0" fontId="0" fillId="0" borderId="1" xfId="0" quotePrefix="1" applyBorder="1"/>
    <xf numFmtId="0" fontId="0" fillId="0" borderId="1" xfId="0" applyFont="1" applyBorder="1"/>
    <xf numFmtId="0" fontId="0" fillId="4" borderId="1" xfId="0" applyFont="1" applyFill="1" applyBorder="1"/>
    <xf numFmtId="0" fontId="0" fillId="5" borderId="1" xfId="0" applyFont="1" applyFill="1" applyBorder="1"/>
    <xf numFmtId="0" fontId="1" fillId="5" borderId="1" xfId="0" applyFont="1" applyFill="1" applyBorder="1"/>
    <xf numFmtId="1" fontId="1" fillId="0" borderId="1" xfId="0" applyNumberFormat="1" applyFont="1" applyBorder="1"/>
    <xf numFmtId="1" fontId="0" fillId="0" borderId="1" xfId="0" applyNumberFormat="1" applyFont="1" applyBorder="1"/>
  </cellXfs>
  <cellStyles count="3">
    <cellStyle name="Accent5" xfId="2" builtinId="45"/>
    <cellStyle name="Check Cell" xfId="1" builtinId="23"/>
    <cellStyle name="Normal" xfId="0" builtinId="0"/>
  </cellStyles>
  <dxfs count="0"/>
  <tableStyles count="0" defaultTableStyle="TableStyleMedium9" defaultPivotStyle="PivotStyleLight16"/>
  <colors>
    <mruColors>
      <color rgb="FFFA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workbookViewId="0">
      <selection activeCell="P11" sqref="A11:P11"/>
    </sheetView>
  </sheetViews>
  <sheetFormatPr defaultRowHeight="15" x14ac:dyDescent="0.25"/>
  <cols>
    <col min="1" max="1" width="13.42578125" bestFit="1" customWidth="1"/>
    <col min="2" max="2" width="9" bestFit="1" customWidth="1"/>
    <col min="3" max="3" width="29.42578125" bestFit="1" customWidth="1"/>
    <col min="4" max="4" width="22.42578125" bestFit="1" customWidth="1"/>
    <col min="5" max="5" width="19" bestFit="1" customWidth="1"/>
    <col min="6" max="6" width="23.85546875" bestFit="1" customWidth="1"/>
    <col min="7" max="7" width="32.5703125" bestFit="1" customWidth="1"/>
    <col min="8" max="8" width="12" bestFit="1" customWidth="1"/>
    <col min="9" max="9" width="3.42578125" bestFit="1" customWidth="1"/>
    <col min="10" max="10" width="12.7109375" bestFit="1" customWidth="1"/>
    <col min="11" max="11" width="7.5703125" bestFit="1" customWidth="1"/>
    <col min="12" max="12" width="13.28515625" bestFit="1" customWidth="1"/>
    <col min="13" max="13" width="12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71</v>
      </c>
      <c r="M1" s="1" t="s">
        <v>72</v>
      </c>
      <c r="N1" s="1" t="s">
        <v>65</v>
      </c>
      <c r="O1" s="1" t="s">
        <v>73</v>
      </c>
      <c r="P1" s="1" t="s">
        <v>74</v>
      </c>
      <c r="Q1" s="1" t="s">
        <v>75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77</v>
      </c>
      <c r="X1" s="1" t="s">
        <v>78</v>
      </c>
      <c r="Y1" s="1" t="s">
        <v>76</v>
      </c>
    </row>
    <row r="2" spans="1:25" x14ac:dyDescent="0.25">
      <c r="A2" s="2" t="s">
        <v>11</v>
      </c>
      <c r="B2" s="2" t="s">
        <v>17</v>
      </c>
      <c r="C2" s="2" t="s">
        <v>23</v>
      </c>
      <c r="D2" s="2">
        <v>225</v>
      </c>
      <c r="E2" s="2" t="s">
        <v>28</v>
      </c>
      <c r="F2" s="2">
        <v>1</v>
      </c>
      <c r="G2" s="2" t="s">
        <v>30</v>
      </c>
      <c r="H2" s="2">
        <v>190</v>
      </c>
      <c r="I2" s="2">
        <v>2</v>
      </c>
      <c r="J2" s="2">
        <v>38</v>
      </c>
      <c r="K2" s="2">
        <v>6</v>
      </c>
      <c r="L2" s="2"/>
      <c r="M2" s="2"/>
      <c r="N2" s="2">
        <v>0</v>
      </c>
      <c r="O2" s="2"/>
      <c r="P2" s="2"/>
      <c r="Q2" s="2"/>
      <c r="R2" s="2">
        <v>300</v>
      </c>
      <c r="S2" s="2">
        <v>1</v>
      </c>
      <c r="T2" s="2">
        <v>105</v>
      </c>
      <c r="U2" s="2">
        <v>32</v>
      </c>
      <c r="V2" s="2">
        <v>0</v>
      </c>
      <c r="W2" s="2"/>
      <c r="X2" s="2"/>
      <c r="Y2" s="2"/>
    </row>
    <row r="3" spans="1:25" x14ac:dyDescent="0.25">
      <c r="A3" s="2" t="s">
        <v>12</v>
      </c>
      <c r="B3" s="2" t="s">
        <v>18</v>
      </c>
      <c r="C3" s="2" t="s">
        <v>24</v>
      </c>
      <c r="D3" s="2">
        <v>28.34</v>
      </c>
      <c r="E3" s="2" t="s">
        <v>29</v>
      </c>
      <c r="F3" s="2">
        <v>24</v>
      </c>
      <c r="G3" s="2" t="s">
        <v>31</v>
      </c>
      <c r="H3" s="2">
        <v>160</v>
      </c>
      <c r="I3" s="2">
        <v>14</v>
      </c>
      <c r="J3" s="2">
        <v>6</v>
      </c>
      <c r="K3" s="2">
        <v>6</v>
      </c>
      <c r="L3" s="2">
        <v>0</v>
      </c>
      <c r="M3" s="2">
        <v>70</v>
      </c>
      <c r="N3" s="2">
        <v>3</v>
      </c>
      <c r="O3" s="2">
        <v>1.1000000000000001</v>
      </c>
      <c r="P3" s="2">
        <v>9</v>
      </c>
      <c r="Q3" s="2">
        <v>3.5</v>
      </c>
      <c r="R3" s="2">
        <v>200</v>
      </c>
      <c r="S3" s="2">
        <v>1</v>
      </c>
      <c r="T3" s="2">
        <v>0</v>
      </c>
      <c r="U3" s="2">
        <v>1</v>
      </c>
      <c r="V3" s="2">
        <v>0</v>
      </c>
      <c r="W3" s="2"/>
      <c r="X3" s="2"/>
      <c r="Y3" s="2">
        <v>0</v>
      </c>
    </row>
    <row r="4" spans="1:25" x14ac:dyDescent="0.25">
      <c r="A4" s="2" t="s">
        <v>13</v>
      </c>
      <c r="B4" s="2" t="s">
        <v>19</v>
      </c>
      <c r="C4" s="2" t="s">
        <v>25</v>
      </c>
      <c r="D4" s="2">
        <v>334</v>
      </c>
      <c r="E4" s="2" t="s">
        <v>28</v>
      </c>
      <c r="F4" s="2">
        <v>2</v>
      </c>
      <c r="G4" s="2" t="s">
        <v>32</v>
      </c>
      <c r="H4" s="2">
        <v>1280</v>
      </c>
      <c r="I4" s="2">
        <v>10</v>
      </c>
      <c r="J4" s="2">
        <v>252</v>
      </c>
      <c r="K4" s="2">
        <v>52</v>
      </c>
      <c r="L4" s="2"/>
      <c r="M4" s="2"/>
      <c r="N4" s="2"/>
      <c r="O4" s="2"/>
      <c r="P4" s="2"/>
      <c r="Q4" s="2"/>
      <c r="R4" s="2">
        <v>2210</v>
      </c>
      <c r="S4" s="2">
        <v>3</v>
      </c>
      <c r="T4" s="2">
        <v>510</v>
      </c>
      <c r="U4" s="2">
        <v>19</v>
      </c>
      <c r="V4" s="2"/>
      <c r="W4" s="2"/>
      <c r="X4" s="2"/>
      <c r="Y4" s="2"/>
    </row>
    <row r="5" spans="1:25" x14ac:dyDescent="0.25">
      <c r="A5" s="2" t="s">
        <v>14</v>
      </c>
      <c r="B5" s="2" t="s">
        <v>20</v>
      </c>
      <c r="C5" s="2" t="s">
        <v>26</v>
      </c>
      <c r="D5" s="2">
        <v>0</v>
      </c>
      <c r="E5" s="2">
        <v>0</v>
      </c>
      <c r="F5" s="2">
        <v>2</v>
      </c>
      <c r="G5" s="2" t="s">
        <v>33</v>
      </c>
      <c r="H5" s="2">
        <v>15</v>
      </c>
      <c r="I5" s="2">
        <v>0</v>
      </c>
      <c r="J5" s="2">
        <v>4</v>
      </c>
      <c r="K5" s="2">
        <v>0</v>
      </c>
      <c r="L5" s="2">
        <v>3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10</v>
      </c>
      <c r="U5" s="2">
        <v>3</v>
      </c>
      <c r="V5" s="2">
        <v>0</v>
      </c>
      <c r="W5" s="12">
        <v>720</v>
      </c>
      <c r="X5" s="2">
        <v>36</v>
      </c>
      <c r="Y5" s="2">
        <v>25</v>
      </c>
    </row>
    <row r="6" spans="1:25" x14ac:dyDescent="0.25">
      <c r="A6" s="2" t="s">
        <v>15</v>
      </c>
      <c r="B6" s="2" t="s">
        <v>21</v>
      </c>
      <c r="C6" s="2" t="s">
        <v>145</v>
      </c>
      <c r="D6" s="2">
        <v>45</v>
      </c>
      <c r="E6" s="2" t="s">
        <v>28</v>
      </c>
      <c r="F6" s="2">
        <v>0.25</v>
      </c>
      <c r="G6" s="2" t="s">
        <v>30</v>
      </c>
      <c r="H6" s="2">
        <v>160</v>
      </c>
      <c r="I6" s="2">
        <v>0</v>
      </c>
      <c r="J6" s="2">
        <v>36</v>
      </c>
      <c r="K6" s="2">
        <v>3</v>
      </c>
      <c r="L6" s="2">
        <v>0</v>
      </c>
      <c r="M6" s="2">
        <v>2</v>
      </c>
      <c r="N6" s="2">
        <v>0</v>
      </c>
      <c r="O6" s="2">
        <v>0</v>
      </c>
      <c r="P6" s="2"/>
      <c r="Q6" s="2"/>
      <c r="R6" s="2">
        <v>0</v>
      </c>
      <c r="S6" s="2">
        <v>0</v>
      </c>
      <c r="T6" s="2">
        <v>0</v>
      </c>
      <c r="U6" s="2">
        <v>0</v>
      </c>
      <c r="V6" s="2">
        <v>0</v>
      </c>
      <c r="W6" s="2"/>
      <c r="X6" s="2"/>
      <c r="Y6" s="2">
        <v>0</v>
      </c>
    </row>
    <row r="7" spans="1:25" x14ac:dyDescent="0.25">
      <c r="A7" s="2" t="s">
        <v>16</v>
      </c>
      <c r="B7" s="2" t="s">
        <v>22</v>
      </c>
      <c r="C7" s="2" t="s">
        <v>27</v>
      </c>
      <c r="D7" s="2">
        <v>22.7</v>
      </c>
      <c r="E7" s="2" t="s">
        <v>28</v>
      </c>
      <c r="F7" s="2">
        <v>1</v>
      </c>
      <c r="G7" s="2" t="s">
        <v>34</v>
      </c>
      <c r="H7" s="2">
        <v>70</v>
      </c>
      <c r="I7" s="2">
        <v>0</v>
      </c>
      <c r="J7" s="2">
        <v>17</v>
      </c>
      <c r="K7" s="2">
        <v>1</v>
      </c>
      <c r="L7" s="2">
        <v>9</v>
      </c>
      <c r="M7" s="2"/>
      <c r="N7" s="2">
        <v>0</v>
      </c>
      <c r="O7" s="2"/>
      <c r="P7" s="2"/>
      <c r="Q7" s="2"/>
      <c r="R7" s="2"/>
      <c r="S7" s="2">
        <v>0</v>
      </c>
      <c r="T7" s="2">
        <v>20</v>
      </c>
      <c r="U7" s="2">
        <v>11</v>
      </c>
      <c r="V7" s="2"/>
      <c r="W7" s="2">
        <v>230</v>
      </c>
      <c r="X7" s="2">
        <v>23</v>
      </c>
      <c r="Y7" s="2"/>
    </row>
    <row r="8" spans="1:25" x14ac:dyDescent="0.25">
      <c r="A8" s="2" t="s">
        <v>36</v>
      </c>
      <c r="B8" s="2" t="s">
        <v>37</v>
      </c>
      <c r="C8" s="2" t="s">
        <v>38</v>
      </c>
      <c r="D8" s="2">
        <v>140</v>
      </c>
      <c r="E8" s="2" t="s">
        <v>28</v>
      </c>
      <c r="F8" s="2">
        <v>1</v>
      </c>
      <c r="G8" s="2" t="s">
        <v>30</v>
      </c>
      <c r="H8" s="2">
        <v>80</v>
      </c>
      <c r="I8" s="2">
        <v>0</v>
      </c>
      <c r="J8" s="2">
        <v>18</v>
      </c>
      <c r="K8" s="2">
        <v>1</v>
      </c>
      <c r="L8" s="2">
        <v>0</v>
      </c>
      <c r="M8" s="2">
        <v>0</v>
      </c>
      <c r="N8" s="2">
        <v>2</v>
      </c>
      <c r="O8" s="2">
        <v>0.4</v>
      </c>
      <c r="P8" s="2"/>
      <c r="Q8" s="2"/>
      <c r="R8" s="2">
        <v>150</v>
      </c>
      <c r="S8" s="2">
        <v>0</v>
      </c>
      <c r="T8" s="2">
        <v>0</v>
      </c>
      <c r="U8" s="2">
        <v>14</v>
      </c>
      <c r="V8" s="2">
        <v>0</v>
      </c>
      <c r="W8" s="2"/>
      <c r="X8" s="2"/>
      <c r="Y8" s="2">
        <v>0</v>
      </c>
    </row>
    <row r="9" spans="1:25" x14ac:dyDescent="0.25">
      <c r="A9" s="2" t="s">
        <v>39</v>
      </c>
      <c r="B9" s="2" t="s">
        <v>40</v>
      </c>
      <c r="C9" s="2" t="s">
        <v>41</v>
      </c>
      <c r="D9" s="2">
        <v>240</v>
      </c>
      <c r="E9" s="2" t="s">
        <v>42</v>
      </c>
      <c r="F9" s="2">
        <v>1</v>
      </c>
      <c r="G9" s="2" t="s">
        <v>30</v>
      </c>
      <c r="H9" s="2">
        <v>90</v>
      </c>
      <c r="I9" s="2">
        <v>0</v>
      </c>
      <c r="J9" s="2">
        <v>13</v>
      </c>
      <c r="K9" s="2">
        <v>8</v>
      </c>
      <c r="L9" s="2"/>
      <c r="M9" s="2">
        <v>310</v>
      </c>
      <c r="N9" s="2">
        <v>0</v>
      </c>
      <c r="O9" s="2">
        <v>0.1</v>
      </c>
      <c r="P9" s="2"/>
      <c r="Q9" s="2"/>
      <c r="R9" s="2">
        <v>420</v>
      </c>
      <c r="S9" s="2">
        <v>0</v>
      </c>
      <c r="T9" s="2">
        <v>125</v>
      </c>
      <c r="U9" s="2">
        <v>12</v>
      </c>
      <c r="V9" s="2"/>
      <c r="W9" s="2">
        <v>150</v>
      </c>
      <c r="X9" s="2">
        <v>0</v>
      </c>
      <c r="Y9" s="2">
        <v>3</v>
      </c>
    </row>
    <row r="10" spans="1:25" x14ac:dyDescent="0.25">
      <c r="A10" s="2" t="s">
        <v>44</v>
      </c>
      <c r="B10" s="2" t="s">
        <v>45</v>
      </c>
      <c r="C10" s="2" t="s">
        <v>46</v>
      </c>
      <c r="D10" s="2">
        <v>28</v>
      </c>
      <c r="E10" s="2" t="s">
        <v>28</v>
      </c>
      <c r="F10" s="2">
        <v>1</v>
      </c>
      <c r="G10" s="2" t="s">
        <v>47</v>
      </c>
      <c r="H10" s="2">
        <v>80</v>
      </c>
      <c r="I10" s="2">
        <v>6</v>
      </c>
      <c r="J10" s="2">
        <v>0</v>
      </c>
      <c r="K10" s="2">
        <v>7</v>
      </c>
      <c r="L10" s="2"/>
      <c r="M10" s="2"/>
      <c r="N10" s="2">
        <v>0</v>
      </c>
      <c r="O10" s="2"/>
      <c r="P10" s="2">
        <v>1.5</v>
      </c>
      <c r="Q10" s="2">
        <v>0</v>
      </c>
      <c r="R10" s="2">
        <v>35</v>
      </c>
      <c r="S10" s="2">
        <v>3</v>
      </c>
      <c r="T10" s="2">
        <v>190</v>
      </c>
      <c r="U10" s="2">
        <v>0</v>
      </c>
      <c r="V10" s="2">
        <v>0</v>
      </c>
      <c r="W10" s="2"/>
      <c r="X10" s="2"/>
      <c r="Y10" s="2"/>
    </row>
    <row r="11" spans="1:25" x14ac:dyDescent="0.25">
      <c r="A11" s="2" t="s">
        <v>48</v>
      </c>
      <c r="B11" s="2" t="s">
        <v>49</v>
      </c>
      <c r="C11" s="2" t="s">
        <v>50</v>
      </c>
      <c r="D11" s="2">
        <v>15</v>
      </c>
      <c r="E11" s="2" t="s">
        <v>42</v>
      </c>
      <c r="F11" s="2">
        <v>1</v>
      </c>
      <c r="G11" s="2" t="s">
        <v>51</v>
      </c>
      <c r="H11" s="2">
        <v>120</v>
      </c>
      <c r="I11" s="2">
        <v>14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10</v>
      </c>
      <c r="Q11" s="2">
        <v>2</v>
      </c>
      <c r="R11" s="2">
        <v>0</v>
      </c>
      <c r="S11" s="2">
        <v>2</v>
      </c>
      <c r="T11" s="2">
        <v>0</v>
      </c>
      <c r="U11" s="2">
        <v>0</v>
      </c>
      <c r="V11" s="2">
        <v>0</v>
      </c>
      <c r="W11" s="2"/>
      <c r="X11" s="2"/>
      <c r="Y11" s="2">
        <v>0</v>
      </c>
    </row>
    <row r="12" spans="1:25" x14ac:dyDescent="0.25">
      <c r="A12" s="2" t="s">
        <v>62</v>
      </c>
      <c r="B12" s="2" t="s">
        <v>63</v>
      </c>
      <c r="C12" s="2" t="s">
        <v>64</v>
      </c>
      <c r="D12" s="2">
        <v>84</v>
      </c>
      <c r="E12" s="2" t="s">
        <v>28</v>
      </c>
      <c r="F12" s="2">
        <v>3</v>
      </c>
      <c r="G12" s="2" t="s">
        <v>29</v>
      </c>
      <c r="H12" s="2">
        <v>50</v>
      </c>
      <c r="I12" s="2">
        <v>0</v>
      </c>
      <c r="J12" s="2">
        <v>0</v>
      </c>
      <c r="K12" s="2">
        <v>12</v>
      </c>
      <c r="L12" s="2">
        <v>0</v>
      </c>
      <c r="M12" s="2">
        <v>130</v>
      </c>
      <c r="N12" s="2">
        <v>0</v>
      </c>
      <c r="O12" s="2">
        <v>0.5</v>
      </c>
      <c r="P12" s="2"/>
      <c r="Q12" s="2"/>
      <c r="R12" s="2">
        <v>45</v>
      </c>
      <c r="S12" s="2">
        <v>0</v>
      </c>
      <c r="T12" s="2">
        <v>710</v>
      </c>
      <c r="U12" s="2">
        <v>0</v>
      </c>
      <c r="V12" s="2">
        <v>0</v>
      </c>
      <c r="W12" s="2"/>
      <c r="X12" s="2"/>
      <c r="Y12" s="2">
        <v>0</v>
      </c>
    </row>
    <row r="13" spans="1:25" x14ac:dyDescent="0.25">
      <c r="A13" s="2"/>
      <c r="B13" s="2"/>
      <c r="C13" s="2" t="s">
        <v>142</v>
      </c>
      <c r="D13" s="2">
        <v>350</v>
      </c>
      <c r="E13" s="2" t="s">
        <v>28</v>
      </c>
      <c r="F13" s="2"/>
      <c r="G13" s="2"/>
      <c r="H13" s="2">
        <v>500</v>
      </c>
      <c r="I13" s="2">
        <v>13</v>
      </c>
      <c r="J13" s="2">
        <v>31</v>
      </c>
      <c r="K13" s="2">
        <v>63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/>
      <c r="C14" s="2" t="s">
        <v>35</v>
      </c>
      <c r="D14" s="2">
        <v>180</v>
      </c>
      <c r="E14" s="2" t="s">
        <v>28</v>
      </c>
      <c r="F14" s="2"/>
      <c r="G14" s="2"/>
      <c r="H14" s="2">
        <v>213.33333333333331</v>
      </c>
      <c r="I14" s="2">
        <v>0</v>
      </c>
      <c r="J14" s="2">
        <v>48</v>
      </c>
      <c r="K14" s="2">
        <v>4</v>
      </c>
      <c r="L14" s="2">
        <v>0</v>
      </c>
      <c r="M14" s="2">
        <v>2.6666666666666665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 s="2" t="s">
        <v>79</v>
      </c>
      <c r="B15" s="2" t="s">
        <v>80</v>
      </c>
      <c r="C15" s="2" t="s">
        <v>81</v>
      </c>
      <c r="D15" s="2">
        <v>40</v>
      </c>
      <c r="E15" s="2" t="s">
        <v>28</v>
      </c>
      <c r="F15" s="2">
        <v>0.5</v>
      </c>
      <c r="G15" s="2" t="s">
        <v>30</v>
      </c>
      <c r="H15" s="2">
        <v>150</v>
      </c>
      <c r="I15" s="2">
        <v>3</v>
      </c>
      <c r="J15" s="2">
        <v>27</v>
      </c>
      <c r="K15" s="2">
        <v>5</v>
      </c>
      <c r="L15" s="2"/>
      <c r="M15" s="2">
        <v>20</v>
      </c>
      <c r="N15" s="2">
        <v>4</v>
      </c>
      <c r="O15" s="2">
        <v>1.7</v>
      </c>
      <c r="P15" s="2">
        <v>1</v>
      </c>
      <c r="Q15" s="2">
        <v>1</v>
      </c>
      <c r="R15" s="2">
        <v>140</v>
      </c>
      <c r="S15" s="2">
        <v>0.5</v>
      </c>
      <c r="T15" s="2">
        <v>0</v>
      </c>
      <c r="U15" s="2">
        <v>1</v>
      </c>
      <c r="V15" s="2">
        <v>0</v>
      </c>
      <c r="W15" s="2"/>
      <c r="X15" s="2"/>
      <c r="Y15" s="2">
        <v>0</v>
      </c>
    </row>
    <row r="16" spans="1:25" x14ac:dyDescent="0.25">
      <c r="A16" s="2" t="s">
        <v>82</v>
      </c>
      <c r="B16" s="2" t="s">
        <v>83</v>
      </c>
      <c r="C16" s="2" t="s">
        <v>84</v>
      </c>
      <c r="D16" s="2">
        <v>12</v>
      </c>
      <c r="E16" s="2" t="s">
        <v>28</v>
      </c>
      <c r="F16" s="2">
        <v>2</v>
      </c>
      <c r="G16" s="2" t="s">
        <v>51</v>
      </c>
      <c r="H16" s="2">
        <v>50</v>
      </c>
      <c r="I16" s="2">
        <v>1.5</v>
      </c>
      <c r="J16" s="2">
        <v>4</v>
      </c>
      <c r="K16" s="2">
        <v>6</v>
      </c>
      <c r="L16" s="2">
        <v>0</v>
      </c>
      <c r="M16" s="2">
        <v>0</v>
      </c>
      <c r="N16" s="2">
        <v>2</v>
      </c>
      <c r="O16" s="2">
        <v>0.3</v>
      </c>
      <c r="P16" s="2">
        <v>0</v>
      </c>
      <c r="Q16" s="2">
        <v>0</v>
      </c>
      <c r="R16" s="2">
        <v>157</v>
      </c>
      <c r="S16" s="2">
        <v>0</v>
      </c>
      <c r="T16" s="2">
        <v>0</v>
      </c>
      <c r="U16" s="2">
        <v>0.5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2" t="s">
        <v>88</v>
      </c>
      <c r="B17" s="2" t="s">
        <v>89</v>
      </c>
      <c r="C17" s="2" t="s">
        <v>90</v>
      </c>
      <c r="D17" s="2">
        <v>240</v>
      </c>
      <c r="E17" s="2" t="s">
        <v>42</v>
      </c>
      <c r="F17" s="2">
        <v>8</v>
      </c>
      <c r="G17" s="2" t="s">
        <v>91</v>
      </c>
      <c r="H17" s="2">
        <v>130</v>
      </c>
      <c r="I17" s="2">
        <v>0</v>
      </c>
      <c r="J17" s="2">
        <v>32</v>
      </c>
      <c r="K17" s="2">
        <v>1</v>
      </c>
      <c r="L17" s="2"/>
      <c r="M17" s="2"/>
      <c r="N17" s="2">
        <v>1</v>
      </c>
      <c r="O17" s="2"/>
      <c r="P17" s="2"/>
      <c r="Q17" s="2"/>
      <c r="R17" s="2"/>
      <c r="S17" s="2">
        <v>0</v>
      </c>
      <c r="T17" s="2">
        <v>140</v>
      </c>
      <c r="U17" s="2">
        <v>30</v>
      </c>
      <c r="V17" s="2"/>
      <c r="W17" s="2"/>
      <c r="X17" s="2"/>
      <c r="Y17" s="2"/>
    </row>
    <row r="18" spans="1:25" x14ac:dyDescent="0.25">
      <c r="A18" s="2" t="s">
        <v>92</v>
      </c>
      <c r="B18" s="2" t="s">
        <v>93</v>
      </c>
      <c r="C18" s="2" t="s">
        <v>94</v>
      </c>
      <c r="D18" s="2">
        <v>31</v>
      </c>
      <c r="E18" s="2" t="s">
        <v>28</v>
      </c>
      <c r="F18" s="2">
        <v>2</v>
      </c>
      <c r="G18" s="2" t="s">
        <v>51</v>
      </c>
      <c r="H18" s="2">
        <v>10</v>
      </c>
      <c r="I18" s="2">
        <v>0</v>
      </c>
      <c r="J18" s="2">
        <v>2</v>
      </c>
      <c r="K18" s="2">
        <v>0</v>
      </c>
      <c r="L18" s="2">
        <v>0</v>
      </c>
      <c r="M18" s="2"/>
      <c r="N18" s="2">
        <v>0</v>
      </c>
      <c r="O18" s="2"/>
      <c r="P18" s="2"/>
      <c r="Q18" s="2"/>
      <c r="R18" s="2">
        <v>60</v>
      </c>
      <c r="S18" s="2">
        <v>0</v>
      </c>
      <c r="T18" s="2">
        <v>230</v>
      </c>
      <c r="U18" s="2">
        <v>1</v>
      </c>
      <c r="V18" s="2">
        <v>0</v>
      </c>
      <c r="W18" s="2"/>
      <c r="X18" s="2"/>
      <c r="Y18" s="2"/>
    </row>
    <row r="19" spans="1:25" x14ac:dyDescent="0.25">
      <c r="A19" s="2" t="s">
        <v>95</v>
      </c>
      <c r="B19" s="2" t="s">
        <v>96</v>
      </c>
      <c r="C19" s="2" t="s">
        <v>97</v>
      </c>
      <c r="D19" s="2">
        <v>31</v>
      </c>
      <c r="E19" s="2" t="s">
        <v>28</v>
      </c>
      <c r="F19" s="2">
        <v>2</v>
      </c>
      <c r="G19" s="2" t="s">
        <v>51</v>
      </c>
      <c r="H19" s="2">
        <v>10</v>
      </c>
      <c r="I19" s="2">
        <v>0</v>
      </c>
      <c r="J19" s="2">
        <v>2</v>
      </c>
      <c r="K19" s="2">
        <v>0</v>
      </c>
      <c r="L19" s="2"/>
      <c r="M19" s="2"/>
      <c r="N19" s="2">
        <v>0</v>
      </c>
      <c r="O19" s="2"/>
      <c r="P19" s="2"/>
      <c r="Q19" s="2"/>
      <c r="R19" s="2"/>
      <c r="S19" s="2">
        <v>0</v>
      </c>
      <c r="T19" s="2">
        <v>220</v>
      </c>
      <c r="U19" s="2">
        <v>1</v>
      </c>
      <c r="V19" s="2"/>
      <c r="W19" s="2"/>
      <c r="X19" s="2"/>
      <c r="Y19" s="2"/>
    </row>
    <row r="20" spans="1:25" x14ac:dyDescent="0.25">
      <c r="A20" s="2" t="s">
        <v>98</v>
      </c>
      <c r="B20" s="2" t="s">
        <v>99</v>
      </c>
      <c r="C20" s="2" t="s">
        <v>100</v>
      </c>
      <c r="D20" s="2">
        <v>56</v>
      </c>
      <c r="E20" s="2" t="s">
        <v>28</v>
      </c>
      <c r="F20" s="2">
        <v>2</v>
      </c>
      <c r="G20" s="2" t="s">
        <v>29</v>
      </c>
      <c r="H20" s="2">
        <v>70</v>
      </c>
      <c r="I20" s="2">
        <v>2.5</v>
      </c>
      <c r="J20" s="2">
        <v>4</v>
      </c>
      <c r="K20" s="2">
        <v>9</v>
      </c>
      <c r="L20" s="2"/>
      <c r="M20" s="2"/>
      <c r="N20" s="2">
        <v>0</v>
      </c>
      <c r="O20" s="2"/>
      <c r="P20" s="2"/>
      <c r="Q20" s="2"/>
      <c r="R20" s="2"/>
      <c r="S20" s="2">
        <v>1</v>
      </c>
      <c r="T20" s="2">
        <v>570</v>
      </c>
      <c r="U20" s="2">
        <v>3</v>
      </c>
      <c r="V20" s="2">
        <v>0</v>
      </c>
      <c r="W20" s="2"/>
      <c r="X20" s="2"/>
      <c r="Y20" s="2"/>
    </row>
    <row r="21" spans="1:25" x14ac:dyDescent="0.25">
      <c r="A21" s="2" t="s">
        <v>101</v>
      </c>
      <c r="B21" s="2" t="s">
        <v>102</v>
      </c>
      <c r="C21" s="2" t="s">
        <v>103</v>
      </c>
      <c r="D21" s="2">
        <v>20</v>
      </c>
      <c r="E21" s="2" t="s">
        <v>28</v>
      </c>
      <c r="F21" s="2">
        <v>1</v>
      </c>
      <c r="G21" s="2" t="s">
        <v>104</v>
      </c>
      <c r="H21" s="2">
        <v>80</v>
      </c>
      <c r="I21" s="2">
        <v>7</v>
      </c>
      <c r="J21" s="2">
        <v>0</v>
      </c>
      <c r="K21" s="2">
        <v>5</v>
      </c>
      <c r="L21" s="2"/>
      <c r="M21" s="2"/>
      <c r="N21" s="2">
        <v>0</v>
      </c>
      <c r="O21" s="2"/>
      <c r="P21" s="2"/>
      <c r="Q21" s="2"/>
      <c r="R21" s="2"/>
      <c r="S21" s="2">
        <v>4</v>
      </c>
      <c r="T21" s="2">
        <v>125</v>
      </c>
      <c r="U21" s="2">
        <v>0</v>
      </c>
      <c r="V21" s="2"/>
      <c r="W21" s="2"/>
      <c r="X21" s="2"/>
      <c r="Y21" s="2"/>
    </row>
    <row r="22" spans="1:25" x14ac:dyDescent="0.25">
      <c r="A22" s="2" t="s">
        <v>105</v>
      </c>
      <c r="B22" s="2" t="s">
        <v>106</v>
      </c>
      <c r="C22" s="2" t="s">
        <v>107</v>
      </c>
      <c r="D22" s="2">
        <v>28</v>
      </c>
      <c r="E22" s="2" t="s">
        <v>28</v>
      </c>
      <c r="F22" s="2">
        <v>1</v>
      </c>
      <c r="G22" s="2" t="s">
        <v>29</v>
      </c>
      <c r="H22" s="2">
        <v>100</v>
      </c>
      <c r="I22" s="2">
        <v>8</v>
      </c>
      <c r="J22" s="2">
        <v>0</v>
      </c>
      <c r="K22" s="2">
        <v>7</v>
      </c>
      <c r="L22" s="2"/>
      <c r="M22" s="2"/>
      <c r="N22" s="2">
        <v>0</v>
      </c>
      <c r="O22" s="2"/>
      <c r="P22" s="2">
        <v>0</v>
      </c>
      <c r="Q22" s="2">
        <v>0</v>
      </c>
      <c r="R22" s="2">
        <v>0</v>
      </c>
      <c r="S22" s="2">
        <v>4.5</v>
      </c>
      <c r="T22" s="2">
        <v>170</v>
      </c>
      <c r="U22" s="2">
        <v>0</v>
      </c>
      <c r="V22" s="2">
        <v>0</v>
      </c>
      <c r="W22" s="2"/>
      <c r="X22" s="2"/>
      <c r="Y22" s="2"/>
    </row>
    <row r="23" spans="1:25" x14ac:dyDescent="0.25">
      <c r="A23" s="2" t="s">
        <v>108</v>
      </c>
      <c r="B23" s="2" t="s">
        <v>109</v>
      </c>
      <c r="C23" s="2" t="s">
        <v>110</v>
      </c>
      <c r="D23" s="2">
        <v>130</v>
      </c>
      <c r="E23" s="2" t="s">
        <v>28</v>
      </c>
      <c r="F23" s="2">
        <v>0.5</v>
      </c>
      <c r="G23" s="2" t="s">
        <v>30</v>
      </c>
      <c r="H23" s="2">
        <v>120</v>
      </c>
      <c r="I23" s="2">
        <v>0.5</v>
      </c>
      <c r="J23" s="2">
        <v>22</v>
      </c>
      <c r="K23" s="2">
        <v>7</v>
      </c>
      <c r="L23" s="2"/>
      <c r="M23" s="2">
        <v>50</v>
      </c>
      <c r="N23" s="2">
        <v>6</v>
      </c>
      <c r="O23" s="2">
        <v>1.7</v>
      </c>
      <c r="P23" s="2">
        <v>0</v>
      </c>
      <c r="Q23" s="2">
        <v>0</v>
      </c>
      <c r="R23" s="2">
        <v>480</v>
      </c>
      <c r="S23" s="2">
        <v>0</v>
      </c>
      <c r="T23" s="2">
        <v>410</v>
      </c>
      <c r="U23" s="2">
        <v>0</v>
      </c>
      <c r="V23" s="2">
        <v>0</v>
      </c>
      <c r="W23" s="2"/>
      <c r="X23" s="2"/>
      <c r="Y23" s="2"/>
    </row>
    <row r="24" spans="1:25" x14ac:dyDescent="0.25">
      <c r="A24" s="2" t="s">
        <v>111</v>
      </c>
      <c r="B24" s="2" t="s">
        <v>112</v>
      </c>
      <c r="C24" s="2" t="s">
        <v>113</v>
      </c>
      <c r="D24" s="2">
        <v>113</v>
      </c>
      <c r="E24" s="2" t="s">
        <v>28</v>
      </c>
      <c r="F24" s="2">
        <v>0.75</v>
      </c>
      <c r="G24" s="2" t="s">
        <v>114</v>
      </c>
      <c r="H24" s="2">
        <v>30</v>
      </c>
      <c r="I24" s="2">
        <v>0</v>
      </c>
      <c r="J24" s="2">
        <v>3</v>
      </c>
      <c r="K24" s="2">
        <v>3</v>
      </c>
      <c r="L24" s="2">
        <v>0</v>
      </c>
      <c r="M24" s="2">
        <v>13</v>
      </c>
      <c r="N24" s="2">
        <v>3</v>
      </c>
      <c r="O24" s="2">
        <v>0.9</v>
      </c>
      <c r="P24" s="2"/>
      <c r="Q24" s="2"/>
      <c r="R24" s="2">
        <v>94</v>
      </c>
      <c r="S24" s="2">
        <v>0</v>
      </c>
      <c r="T24" s="2">
        <v>320</v>
      </c>
      <c r="U24" s="2">
        <v>3</v>
      </c>
      <c r="V24" s="2">
        <v>0</v>
      </c>
      <c r="W24" s="2"/>
      <c r="X24" s="2"/>
      <c r="Y24" s="2">
        <v>0</v>
      </c>
    </row>
    <row r="25" spans="1:25" x14ac:dyDescent="0.25">
      <c r="A25" s="2" t="s">
        <v>115</v>
      </c>
      <c r="B25" s="2" t="s">
        <v>116</v>
      </c>
      <c r="C25" s="2" t="s">
        <v>117</v>
      </c>
      <c r="D25" s="2">
        <v>32</v>
      </c>
      <c r="E25" s="2" t="s">
        <v>28</v>
      </c>
      <c r="F25" s="2">
        <v>2</v>
      </c>
      <c r="G25" s="2" t="s">
        <v>51</v>
      </c>
      <c r="H25" s="2">
        <v>180</v>
      </c>
      <c r="I25" s="2">
        <v>15</v>
      </c>
      <c r="J25" s="2">
        <v>8</v>
      </c>
      <c r="K25" s="2">
        <v>7</v>
      </c>
      <c r="L25" s="2">
        <v>2</v>
      </c>
      <c r="M25" s="2">
        <v>19</v>
      </c>
      <c r="N25" s="2">
        <v>2</v>
      </c>
      <c r="O25" s="2">
        <v>0.5</v>
      </c>
      <c r="P25" s="2">
        <v>8</v>
      </c>
      <c r="Q25" s="2">
        <v>4.5</v>
      </c>
      <c r="R25" s="2">
        <v>184</v>
      </c>
      <c r="S25" s="2">
        <v>2.5</v>
      </c>
      <c r="T25" s="2">
        <v>135</v>
      </c>
      <c r="U25" s="2">
        <v>4</v>
      </c>
      <c r="V25" s="2">
        <v>0</v>
      </c>
      <c r="W25" s="2"/>
      <c r="X25" s="2"/>
      <c r="Y25" s="2">
        <v>0</v>
      </c>
    </row>
    <row r="26" spans="1:25" x14ac:dyDescent="0.25">
      <c r="A26" s="2" t="s">
        <v>118</v>
      </c>
      <c r="B26" s="2" t="s">
        <v>119</v>
      </c>
      <c r="C26" s="2" t="s">
        <v>120</v>
      </c>
      <c r="D26" s="2">
        <v>42</v>
      </c>
      <c r="E26" s="2" t="s">
        <v>28</v>
      </c>
      <c r="F26" s="2">
        <v>1</v>
      </c>
      <c r="G26" s="2" t="s">
        <v>121</v>
      </c>
      <c r="H26" s="2">
        <v>190</v>
      </c>
      <c r="I26" s="2">
        <v>7</v>
      </c>
      <c r="J26" s="2">
        <v>29</v>
      </c>
      <c r="K26" s="2">
        <v>3</v>
      </c>
      <c r="L26" s="2">
        <v>11</v>
      </c>
      <c r="M26" s="2">
        <v>0</v>
      </c>
      <c r="N26" s="2">
        <v>2</v>
      </c>
      <c r="O26" s="2">
        <v>1.08</v>
      </c>
      <c r="P26" s="2"/>
      <c r="Q26" s="2"/>
      <c r="R26" s="2">
        <v>0</v>
      </c>
      <c r="S26" s="2">
        <v>1</v>
      </c>
      <c r="T26" s="2">
        <v>140</v>
      </c>
      <c r="U26" s="2">
        <v>11</v>
      </c>
      <c r="V26" s="2">
        <v>0</v>
      </c>
      <c r="W26" s="2"/>
      <c r="X26" s="2"/>
      <c r="Y26" s="2">
        <v>0</v>
      </c>
    </row>
    <row r="27" spans="1:25" x14ac:dyDescent="0.25">
      <c r="A27" s="2" t="s">
        <v>122</v>
      </c>
      <c r="B27" s="2" t="s">
        <v>123</v>
      </c>
      <c r="C27" s="2" t="s">
        <v>124</v>
      </c>
      <c r="D27" s="2">
        <v>30</v>
      </c>
      <c r="E27" s="2" t="s">
        <v>28</v>
      </c>
      <c r="F27" s="2">
        <v>0.33333333333333331</v>
      </c>
      <c r="G27" s="2" t="s">
        <v>30</v>
      </c>
      <c r="H27" s="2">
        <v>100</v>
      </c>
      <c r="I27" s="2">
        <v>4</v>
      </c>
      <c r="J27" s="2">
        <v>6</v>
      </c>
      <c r="K27" s="2">
        <v>11</v>
      </c>
      <c r="L27" s="2">
        <v>0</v>
      </c>
      <c r="M27" s="2">
        <v>50</v>
      </c>
      <c r="N27" s="2">
        <v>4</v>
      </c>
      <c r="O27" s="2">
        <v>2</v>
      </c>
      <c r="P27" s="2"/>
      <c r="Q27" s="2"/>
      <c r="R27" s="2">
        <v>200</v>
      </c>
      <c r="S27" s="2">
        <v>1</v>
      </c>
      <c r="T27" s="2">
        <v>150</v>
      </c>
      <c r="U27" s="2">
        <v>2</v>
      </c>
      <c r="V27" s="2"/>
      <c r="W27" s="2"/>
      <c r="X27" s="2"/>
      <c r="Y27" s="2">
        <v>0</v>
      </c>
    </row>
    <row r="28" spans="1:25" x14ac:dyDescent="0.25">
      <c r="A28" s="2" t="s">
        <v>125</v>
      </c>
      <c r="B28" s="2" t="s">
        <v>126</v>
      </c>
      <c r="C28" s="2" t="s">
        <v>127</v>
      </c>
      <c r="D28" s="2">
        <v>21</v>
      </c>
      <c r="E28" s="2" t="s">
        <v>28</v>
      </c>
      <c r="F28" s="2">
        <v>1</v>
      </c>
      <c r="G28" s="2" t="s">
        <v>128</v>
      </c>
      <c r="H28" s="2">
        <v>100</v>
      </c>
      <c r="I28" s="2">
        <v>3.5</v>
      </c>
      <c r="J28" s="2">
        <v>19</v>
      </c>
      <c r="K28" s="2">
        <v>2</v>
      </c>
      <c r="L28" s="2">
        <v>6</v>
      </c>
      <c r="M28" s="2"/>
      <c r="N28" s="2">
        <v>1</v>
      </c>
      <c r="O28" s="2"/>
      <c r="P28" s="2">
        <v>3</v>
      </c>
      <c r="Q28" s="2">
        <v>1</v>
      </c>
      <c r="R28" s="2"/>
      <c r="S28" s="2">
        <v>0</v>
      </c>
      <c r="T28" s="2">
        <v>70</v>
      </c>
      <c r="U28" s="2">
        <v>7</v>
      </c>
      <c r="V28" s="2">
        <v>0</v>
      </c>
      <c r="W28" s="2"/>
      <c r="X28" s="2"/>
      <c r="Y28" s="2"/>
    </row>
    <row r="29" spans="1:25" x14ac:dyDescent="0.25">
      <c r="A29" s="2" t="s">
        <v>129</v>
      </c>
      <c r="B29" s="2" t="s">
        <v>130</v>
      </c>
      <c r="C29" s="2" t="s">
        <v>131</v>
      </c>
      <c r="D29" s="2">
        <v>120</v>
      </c>
      <c r="E29" s="2" t="s">
        <v>42</v>
      </c>
      <c r="F29" s="2">
        <v>0.5</v>
      </c>
      <c r="G29" s="2" t="s">
        <v>132</v>
      </c>
      <c r="H29" s="2">
        <v>120</v>
      </c>
      <c r="I29" s="2">
        <v>8</v>
      </c>
      <c r="J29" s="2">
        <v>9</v>
      </c>
      <c r="K29" s="2">
        <v>2</v>
      </c>
      <c r="L29" s="2"/>
      <c r="M29" s="2"/>
      <c r="N29" s="2">
        <v>4</v>
      </c>
      <c r="O29" s="2"/>
      <c r="P29" s="2">
        <v>2</v>
      </c>
      <c r="Q29" s="2">
        <v>2</v>
      </c>
      <c r="R29" s="2">
        <v>70</v>
      </c>
      <c r="S29" s="2">
        <v>2</v>
      </c>
      <c r="T29" s="2">
        <v>830</v>
      </c>
      <c r="U29" s="2">
        <v>1</v>
      </c>
      <c r="V29" s="2">
        <v>0</v>
      </c>
      <c r="W29" s="2"/>
      <c r="X29" s="2"/>
      <c r="Y29" s="2"/>
    </row>
    <row r="30" spans="1:25" x14ac:dyDescent="0.25">
      <c r="A30" s="2" t="s">
        <v>133</v>
      </c>
      <c r="B30" s="2" t="s">
        <v>134</v>
      </c>
      <c r="C30" s="2" t="s">
        <v>135</v>
      </c>
      <c r="D30" s="2">
        <v>50</v>
      </c>
      <c r="E30" s="2" t="s">
        <v>28</v>
      </c>
      <c r="F30" s="2">
        <v>0.25</v>
      </c>
      <c r="G30" s="2" t="s">
        <v>30</v>
      </c>
      <c r="H30" s="2">
        <v>5</v>
      </c>
      <c r="I30" s="2">
        <v>0</v>
      </c>
      <c r="J30" s="2">
        <v>1</v>
      </c>
      <c r="K30" s="2">
        <v>0</v>
      </c>
      <c r="L30" s="2"/>
      <c r="M30" s="2">
        <v>30</v>
      </c>
      <c r="N30" s="2"/>
      <c r="O30" s="2"/>
      <c r="P30" s="2"/>
      <c r="Q30" s="2"/>
      <c r="R30" s="2"/>
      <c r="S30" s="2"/>
      <c r="T30" s="2">
        <v>540</v>
      </c>
      <c r="U30" s="2"/>
      <c r="V30" s="2"/>
      <c r="W30" s="2"/>
      <c r="X30" s="2"/>
      <c r="Y30" s="2"/>
    </row>
    <row r="31" spans="1:25" x14ac:dyDescent="0.25">
      <c r="A31" s="2" t="s">
        <v>136</v>
      </c>
      <c r="B31" s="2" t="s">
        <v>137</v>
      </c>
      <c r="C31" s="2" t="s">
        <v>138</v>
      </c>
      <c r="D31" s="2">
        <v>85</v>
      </c>
      <c r="E31" s="2" t="s">
        <v>28</v>
      </c>
      <c r="F31" s="2">
        <v>3</v>
      </c>
      <c r="G31" s="2" t="s">
        <v>29</v>
      </c>
      <c r="H31" s="2">
        <v>30</v>
      </c>
      <c r="I31" s="2">
        <v>0</v>
      </c>
      <c r="J31" s="2">
        <v>7</v>
      </c>
      <c r="K31" s="2">
        <v>1</v>
      </c>
      <c r="L31" s="2"/>
      <c r="M31" s="2">
        <v>20</v>
      </c>
      <c r="N31" s="2">
        <v>2</v>
      </c>
      <c r="O31" s="2">
        <v>0.4</v>
      </c>
      <c r="P31" s="2">
        <v>0</v>
      </c>
      <c r="Q31" s="2">
        <v>0</v>
      </c>
      <c r="R31" s="2">
        <v>270</v>
      </c>
      <c r="S31" s="2">
        <v>0</v>
      </c>
      <c r="T31" s="2">
        <v>65</v>
      </c>
      <c r="U31" s="2">
        <v>5</v>
      </c>
      <c r="V31" s="2">
        <v>0</v>
      </c>
      <c r="W31" s="2">
        <v>300</v>
      </c>
      <c r="X31" s="2">
        <v>7</v>
      </c>
      <c r="Y31" s="2"/>
    </row>
    <row r="32" spans="1:25" x14ac:dyDescent="0.25">
      <c r="A32" s="2" t="s">
        <v>139</v>
      </c>
      <c r="B32" s="2" t="s">
        <v>140</v>
      </c>
      <c r="C32" s="2" t="s">
        <v>141</v>
      </c>
      <c r="D32" s="2">
        <v>50</v>
      </c>
      <c r="E32" s="2" t="s">
        <v>28</v>
      </c>
      <c r="F32" s="2">
        <v>0.33333333333333331</v>
      </c>
      <c r="G32" s="2" t="s">
        <v>30</v>
      </c>
      <c r="H32" s="2">
        <v>80</v>
      </c>
      <c r="I32" s="2">
        <v>7</v>
      </c>
      <c r="J32" s="2">
        <v>4</v>
      </c>
      <c r="K32" s="2">
        <v>1</v>
      </c>
      <c r="L32" s="2"/>
      <c r="M32" s="2">
        <v>10</v>
      </c>
      <c r="N32" s="2">
        <v>3</v>
      </c>
      <c r="O32" s="2">
        <v>0.3</v>
      </c>
      <c r="P32" s="2"/>
      <c r="Q32" s="2"/>
      <c r="R32" s="2">
        <v>240</v>
      </c>
      <c r="S32" s="2">
        <v>1</v>
      </c>
      <c r="T32" s="2">
        <v>10</v>
      </c>
      <c r="U32" s="2"/>
      <c r="V32" s="2"/>
      <c r="W32" s="2"/>
      <c r="X32" s="2"/>
      <c r="Y32" s="2"/>
    </row>
    <row r="33" spans="1:25" x14ac:dyDescent="0.25">
      <c r="A33" s="2" t="s">
        <v>146</v>
      </c>
      <c r="B33" s="2" t="s">
        <v>147</v>
      </c>
      <c r="C33" s="2" t="s">
        <v>148</v>
      </c>
      <c r="D33" s="2">
        <v>5</v>
      </c>
      <c r="E33" s="2" t="s">
        <v>28</v>
      </c>
      <c r="F33" s="2">
        <v>1</v>
      </c>
      <c r="G33" s="2" t="s">
        <v>149</v>
      </c>
      <c r="H33" s="2">
        <v>0</v>
      </c>
      <c r="I33" s="2">
        <v>0</v>
      </c>
      <c r="J33" s="2">
        <v>0</v>
      </c>
      <c r="K33" s="2">
        <v>0</v>
      </c>
      <c r="L33" s="2"/>
      <c r="M33" s="2"/>
      <c r="N33" s="2">
        <v>0</v>
      </c>
      <c r="O33" s="2"/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/>
      <c r="X33" s="2"/>
      <c r="Y33" s="2"/>
    </row>
    <row r="34" spans="1:25" x14ac:dyDescent="0.25">
      <c r="A34" s="2" t="s">
        <v>150</v>
      </c>
      <c r="B34" s="2" t="s">
        <v>151</v>
      </c>
      <c r="C34" s="2" t="s">
        <v>152</v>
      </c>
      <c r="D34" s="2"/>
      <c r="E34" s="2"/>
      <c r="F34" s="2">
        <v>2</v>
      </c>
      <c r="G34" s="2" t="s">
        <v>153</v>
      </c>
      <c r="H34" s="2">
        <v>35</v>
      </c>
      <c r="I34" s="2">
        <v>3</v>
      </c>
      <c r="J34" s="2">
        <v>1</v>
      </c>
      <c r="K34" s="2">
        <v>0.5</v>
      </c>
      <c r="L34" s="2"/>
      <c r="M34" s="2"/>
      <c r="N34" s="2">
        <v>0</v>
      </c>
      <c r="O34" s="2"/>
      <c r="P34" s="2">
        <v>0.5</v>
      </c>
      <c r="Q34" s="2">
        <v>1</v>
      </c>
      <c r="R34" s="2"/>
      <c r="S34" s="2">
        <v>1</v>
      </c>
      <c r="T34" s="2">
        <v>0</v>
      </c>
      <c r="U34" s="2">
        <v>0</v>
      </c>
      <c r="V34" s="2">
        <v>0</v>
      </c>
      <c r="W34" s="2"/>
      <c r="X34" s="2"/>
      <c r="Y34" s="2"/>
    </row>
    <row r="35" spans="1:25" x14ac:dyDescent="0.25">
      <c r="A35" s="2" t="s">
        <v>154</v>
      </c>
      <c r="B35" s="2" t="s">
        <v>155</v>
      </c>
      <c r="C35" s="2" t="s">
        <v>156</v>
      </c>
      <c r="D35" s="2"/>
      <c r="E35" s="2"/>
      <c r="F35" s="2">
        <v>1</v>
      </c>
      <c r="G35" s="2" t="s">
        <v>157</v>
      </c>
      <c r="H35" s="2">
        <v>10</v>
      </c>
      <c r="I35" s="2">
        <v>0.5</v>
      </c>
      <c r="J35" s="2">
        <v>0</v>
      </c>
      <c r="K35" s="2">
        <v>0</v>
      </c>
      <c r="L35" s="2"/>
      <c r="M35" s="2"/>
      <c r="N35" s="2">
        <v>0</v>
      </c>
      <c r="O35" s="2"/>
      <c r="P35" s="2">
        <v>0</v>
      </c>
      <c r="Q35" s="2">
        <v>0</v>
      </c>
      <c r="R35" s="2">
        <v>0</v>
      </c>
      <c r="S35" s="2">
        <v>0.5</v>
      </c>
      <c r="T35" s="2">
        <v>0</v>
      </c>
      <c r="U35" s="2">
        <v>0</v>
      </c>
      <c r="V35" s="2">
        <v>0</v>
      </c>
      <c r="W35" s="2"/>
      <c r="X35" s="2"/>
      <c r="Y35" s="2"/>
    </row>
    <row r="36" spans="1:25" x14ac:dyDescent="0.25">
      <c r="A36" s="2" t="s">
        <v>158</v>
      </c>
      <c r="B36" s="2" t="s">
        <v>159</v>
      </c>
      <c r="C36" s="2" t="s">
        <v>160</v>
      </c>
      <c r="D36" s="2"/>
      <c r="E36" s="2"/>
      <c r="F36" s="2">
        <v>2</v>
      </c>
      <c r="G36" s="2" t="s">
        <v>161</v>
      </c>
      <c r="H36" s="2">
        <v>5</v>
      </c>
      <c r="I36" s="2">
        <v>0</v>
      </c>
      <c r="J36" s="2">
        <v>0</v>
      </c>
      <c r="K36" s="2">
        <v>0</v>
      </c>
      <c r="L36" s="2">
        <v>0</v>
      </c>
      <c r="M36" s="2">
        <v>650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5</v>
      </c>
      <c r="U36" s="2">
        <v>0</v>
      </c>
      <c r="V36" s="2">
        <v>0</v>
      </c>
      <c r="W36" s="2">
        <v>0</v>
      </c>
      <c r="X36" s="2">
        <v>0</v>
      </c>
      <c r="Y36" s="2">
        <v>25</v>
      </c>
    </row>
    <row r="37" spans="1:25" x14ac:dyDescent="0.25">
      <c r="A37" s="2" t="s">
        <v>162</v>
      </c>
      <c r="B37" s="2" t="s">
        <v>163</v>
      </c>
      <c r="C37" s="2" t="s">
        <v>164</v>
      </c>
      <c r="D37" s="2">
        <v>12</v>
      </c>
      <c r="E37" s="2" t="s">
        <v>29</v>
      </c>
      <c r="F37" s="2">
        <v>1</v>
      </c>
      <c r="G37" s="2" t="s">
        <v>165</v>
      </c>
      <c r="H37" s="2">
        <v>143</v>
      </c>
      <c r="I37" s="2">
        <v>0</v>
      </c>
      <c r="J37" s="2">
        <v>13.6</v>
      </c>
      <c r="K37" s="2">
        <v>1.1000000000000001</v>
      </c>
      <c r="L37" s="2"/>
      <c r="M37" s="2"/>
      <c r="N37" s="2"/>
      <c r="O37" s="2"/>
      <c r="P37" s="2">
        <v>0</v>
      </c>
      <c r="Q37" s="2">
        <v>0</v>
      </c>
      <c r="R37" s="2"/>
      <c r="S37" s="2">
        <v>0</v>
      </c>
      <c r="T37" s="2"/>
      <c r="U37" s="2">
        <v>0</v>
      </c>
      <c r="V37" s="2">
        <v>0</v>
      </c>
      <c r="W37" s="2"/>
      <c r="X37" s="2"/>
      <c r="Y37" s="2"/>
    </row>
    <row r="38" spans="1:25" x14ac:dyDescent="0.25">
      <c r="A38" s="2" t="s">
        <v>166</v>
      </c>
      <c r="B38" s="2" t="s">
        <v>167</v>
      </c>
      <c r="C38" s="2" t="s">
        <v>168</v>
      </c>
      <c r="D38" s="2"/>
      <c r="E38" s="2"/>
      <c r="F38" s="2">
        <v>2</v>
      </c>
      <c r="G38" s="2" t="s">
        <v>33</v>
      </c>
      <c r="H38" s="2">
        <v>10</v>
      </c>
      <c r="I38" s="2">
        <v>0</v>
      </c>
      <c r="J38" s="2">
        <v>3</v>
      </c>
      <c r="K38" s="2">
        <v>0</v>
      </c>
      <c r="L38" s="2"/>
      <c r="M38" s="2"/>
      <c r="N38" s="2">
        <v>0</v>
      </c>
      <c r="O38" s="2"/>
      <c r="P38" s="2"/>
      <c r="Q38" s="2"/>
      <c r="R38" s="2"/>
      <c r="S38" s="2"/>
      <c r="T38" s="2">
        <v>0</v>
      </c>
      <c r="U38" s="2">
        <v>3</v>
      </c>
      <c r="V38" s="2"/>
      <c r="W38" s="2"/>
      <c r="X38" s="2"/>
      <c r="Y38" s="2"/>
    </row>
    <row r="39" spans="1:25" x14ac:dyDescent="0.25">
      <c r="A39" s="2" t="s">
        <v>170</v>
      </c>
      <c r="B39" s="2" t="s">
        <v>171</v>
      </c>
      <c r="C39" s="2" t="s">
        <v>172</v>
      </c>
      <c r="D39" s="2">
        <v>112</v>
      </c>
      <c r="E39" s="2" t="s">
        <v>28</v>
      </c>
      <c r="F39" s="2">
        <v>1</v>
      </c>
      <c r="G39" s="2" t="s">
        <v>173</v>
      </c>
      <c r="H39" s="2">
        <v>120</v>
      </c>
      <c r="I39" s="2">
        <v>2.5</v>
      </c>
      <c r="J39" s="2">
        <v>0</v>
      </c>
      <c r="K39" s="2">
        <v>23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8" t="s">
        <v>174</v>
      </c>
      <c r="B40" s="2"/>
      <c r="C40" s="2" t="s">
        <v>175</v>
      </c>
      <c r="D40" s="2"/>
      <c r="E40" s="2"/>
      <c r="F40" s="2">
        <v>1</v>
      </c>
      <c r="G40" s="2" t="s">
        <v>157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125</v>
      </c>
    </row>
    <row r="41" spans="1:25" x14ac:dyDescent="0.25">
      <c r="A41" t="s">
        <v>176</v>
      </c>
      <c r="B41" t="s">
        <v>177</v>
      </c>
      <c r="C41" t="s">
        <v>178</v>
      </c>
      <c r="D41">
        <v>56</v>
      </c>
      <c r="E41" t="s">
        <v>28</v>
      </c>
      <c r="F41">
        <v>1</v>
      </c>
      <c r="G41" t="s">
        <v>179</v>
      </c>
      <c r="H41">
        <v>70</v>
      </c>
      <c r="I41">
        <v>4.5</v>
      </c>
      <c r="J41">
        <v>0</v>
      </c>
      <c r="K41">
        <v>7</v>
      </c>
      <c r="L41">
        <v>0</v>
      </c>
      <c r="M41">
        <v>30</v>
      </c>
      <c r="N41">
        <v>0</v>
      </c>
      <c r="O41">
        <v>1</v>
      </c>
      <c r="P41">
        <v>2</v>
      </c>
      <c r="Q41">
        <v>1</v>
      </c>
      <c r="R41">
        <v>0</v>
      </c>
      <c r="S41">
        <v>1.5</v>
      </c>
      <c r="T41">
        <v>70</v>
      </c>
      <c r="U41">
        <v>0</v>
      </c>
      <c r="V41">
        <v>0</v>
      </c>
      <c r="Y41">
        <v>7</v>
      </c>
    </row>
    <row r="42" spans="1:25" x14ac:dyDescent="0.25">
      <c r="A42" t="s">
        <v>180</v>
      </c>
      <c r="B42" t="s">
        <v>181</v>
      </c>
      <c r="C42" t="s">
        <v>182</v>
      </c>
      <c r="D42">
        <v>56</v>
      </c>
      <c r="E42" t="s">
        <v>28</v>
      </c>
      <c r="F42">
        <v>2</v>
      </c>
      <c r="G42" t="s">
        <v>29</v>
      </c>
      <c r="H42">
        <v>60</v>
      </c>
      <c r="I42">
        <v>1.5</v>
      </c>
      <c r="J42">
        <v>2</v>
      </c>
      <c r="K42">
        <v>10</v>
      </c>
      <c r="M42">
        <v>0</v>
      </c>
      <c r="N42">
        <v>0</v>
      </c>
      <c r="R42">
        <v>0</v>
      </c>
      <c r="S42">
        <v>0</v>
      </c>
      <c r="T42">
        <v>490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 t="s">
        <v>183</v>
      </c>
      <c r="B43" t="s">
        <v>184</v>
      </c>
      <c r="C43" t="s">
        <v>185</v>
      </c>
      <c r="D43">
        <v>50</v>
      </c>
      <c r="E43" t="s">
        <v>28</v>
      </c>
      <c r="F43">
        <v>2</v>
      </c>
      <c r="G43" t="s">
        <v>186</v>
      </c>
      <c r="H43">
        <v>100</v>
      </c>
      <c r="I43">
        <v>1</v>
      </c>
      <c r="J43">
        <v>19</v>
      </c>
      <c r="K43">
        <v>3</v>
      </c>
      <c r="N43">
        <v>1</v>
      </c>
      <c r="S43">
        <v>1</v>
      </c>
      <c r="T43">
        <v>20</v>
      </c>
      <c r="U43">
        <v>0</v>
      </c>
      <c r="V43">
        <v>0</v>
      </c>
    </row>
    <row r="44" spans="1:25" x14ac:dyDescent="0.25">
      <c r="A44" t="s">
        <v>187</v>
      </c>
      <c r="B44" t="s">
        <v>188</v>
      </c>
      <c r="C44" t="s">
        <v>189</v>
      </c>
      <c r="D44">
        <v>31</v>
      </c>
      <c r="E44" t="s">
        <v>28</v>
      </c>
      <c r="F44">
        <v>1</v>
      </c>
      <c r="G44" t="s">
        <v>104</v>
      </c>
      <c r="H44">
        <v>70</v>
      </c>
      <c r="I44">
        <v>0.5</v>
      </c>
      <c r="J44">
        <v>13</v>
      </c>
      <c r="K44">
        <v>3</v>
      </c>
      <c r="L44">
        <v>2</v>
      </c>
      <c r="M44">
        <v>50</v>
      </c>
      <c r="N44">
        <v>1</v>
      </c>
      <c r="O44">
        <v>1</v>
      </c>
      <c r="R44">
        <v>60</v>
      </c>
      <c r="S44">
        <v>0</v>
      </c>
      <c r="T44">
        <v>125</v>
      </c>
      <c r="U44">
        <v>2</v>
      </c>
    </row>
    <row r="45" spans="1:25" x14ac:dyDescent="0.25">
      <c r="C45" t="s">
        <v>192</v>
      </c>
      <c r="D45">
        <v>50</v>
      </c>
      <c r="E45" t="s">
        <v>28</v>
      </c>
      <c r="F45">
        <v>0</v>
      </c>
      <c r="H45">
        <v>240</v>
      </c>
      <c r="I45">
        <v>22</v>
      </c>
      <c r="J45">
        <v>12.8</v>
      </c>
      <c r="K45">
        <v>3</v>
      </c>
    </row>
    <row r="46" spans="1:25" x14ac:dyDescent="0.25">
      <c r="C46" t="s">
        <v>193</v>
      </c>
      <c r="D46">
        <v>1</v>
      </c>
      <c r="E46" t="s">
        <v>29</v>
      </c>
      <c r="F46">
        <v>0</v>
      </c>
      <c r="H46">
        <v>160</v>
      </c>
      <c r="I46">
        <v>14</v>
      </c>
      <c r="J46">
        <v>6</v>
      </c>
      <c r="K46">
        <v>6</v>
      </c>
    </row>
    <row r="47" spans="1:25" x14ac:dyDescent="0.25">
      <c r="C47" t="s">
        <v>194</v>
      </c>
      <c r="D47">
        <v>59</v>
      </c>
      <c r="F47">
        <v>0</v>
      </c>
      <c r="H47">
        <v>210</v>
      </c>
      <c r="I47">
        <v>0</v>
      </c>
      <c r="J47">
        <v>49</v>
      </c>
      <c r="K47">
        <v>4</v>
      </c>
    </row>
    <row r="48" spans="1:25" x14ac:dyDescent="0.25">
      <c r="C48" t="s">
        <v>195</v>
      </c>
      <c r="D48">
        <v>1</v>
      </c>
      <c r="E48" t="s">
        <v>196</v>
      </c>
      <c r="F48">
        <v>113</v>
      </c>
      <c r="G48" t="s">
        <v>28</v>
      </c>
      <c r="H48">
        <v>80</v>
      </c>
      <c r="I48">
        <v>1</v>
      </c>
      <c r="J48">
        <v>0</v>
      </c>
      <c r="K48">
        <v>17</v>
      </c>
    </row>
    <row r="49" spans="3:11" x14ac:dyDescent="0.25">
      <c r="C49" t="s">
        <v>197</v>
      </c>
      <c r="D49">
        <v>1</v>
      </c>
      <c r="E49" t="s">
        <v>29</v>
      </c>
      <c r="F49">
        <v>28</v>
      </c>
      <c r="G49" t="s">
        <v>28</v>
      </c>
      <c r="H49">
        <v>180</v>
      </c>
      <c r="I49">
        <v>15</v>
      </c>
      <c r="J49">
        <v>4</v>
      </c>
      <c r="K49">
        <v>8</v>
      </c>
    </row>
    <row r="50" spans="3:11" x14ac:dyDescent="0.25">
      <c r="C50" t="s">
        <v>198</v>
      </c>
      <c r="D50">
        <v>113</v>
      </c>
      <c r="E50" t="s">
        <v>28</v>
      </c>
      <c r="F50">
        <v>0</v>
      </c>
      <c r="H50">
        <v>18</v>
      </c>
      <c r="I50">
        <v>0.2</v>
      </c>
      <c r="J50">
        <v>3.8</v>
      </c>
      <c r="K50">
        <v>1.4</v>
      </c>
    </row>
    <row r="51" spans="3:11" x14ac:dyDescent="0.25">
      <c r="C51" t="s">
        <v>199</v>
      </c>
      <c r="D51">
        <v>1</v>
      </c>
      <c r="E51" t="s">
        <v>200</v>
      </c>
      <c r="F51">
        <v>15</v>
      </c>
      <c r="G51" t="s">
        <v>28</v>
      </c>
      <c r="H51">
        <v>23</v>
      </c>
      <c r="I51">
        <v>25</v>
      </c>
      <c r="J51">
        <v>1</v>
      </c>
      <c r="K51">
        <v>1</v>
      </c>
    </row>
    <row r="52" spans="3:11" x14ac:dyDescent="0.25">
      <c r="C52" t="s">
        <v>201</v>
      </c>
      <c r="D52">
        <v>3</v>
      </c>
      <c r="E52" t="s">
        <v>202</v>
      </c>
      <c r="F52">
        <v>85</v>
      </c>
      <c r="G52" t="s">
        <v>28</v>
      </c>
      <c r="H52">
        <v>20</v>
      </c>
      <c r="I52">
        <v>0</v>
      </c>
      <c r="J52">
        <v>3</v>
      </c>
      <c r="K52">
        <v>2</v>
      </c>
    </row>
    <row r="53" spans="3:11" x14ac:dyDescent="0.25">
      <c r="C53" t="s">
        <v>203</v>
      </c>
      <c r="D53">
        <v>1</v>
      </c>
      <c r="E53" t="s">
        <v>204</v>
      </c>
      <c r="F53">
        <v>140</v>
      </c>
      <c r="G53" t="s">
        <v>28</v>
      </c>
      <c r="H53">
        <v>70</v>
      </c>
      <c r="I53">
        <v>0</v>
      </c>
      <c r="J53">
        <v>18</v>
      </c>
      <c r="K53">
        <v>0</v>
      </c>
    </row>
    <row r="54" spans="3:11" x14ac:dyDescent="0.25">
      <c r="C54" t="s">
        <v>205</v>
      </c>
      <c r="D54">
        <v>0.5</v>
      </c>
      <c r="F54">
        <v>0</v>
      </c>
      <c r="H54">
        <v>110</v>
      </c>
      <c r="I54">
        <v>0</v>
      </c>
      <c r="J54">
        <v>20</v>
      </c>
      <c r="K54">
        <v>7</v>
      </c>
    </row>
    <row r="55" spans="3:11" x14ac:dyDescent="0.25">
      <c r="C55" t="s">
        <v>206</v>
      </c>
      <c r="D55">
        <v>0.5</v>
      </c>
      <c r="E55" t="s">
        <v>204</v>
      </c>
      <c r="F55">
        <v>130</v>
      </c>
      <c r="G55" t="s">
        <v>28</v>
      </c>
      <c r="H55">
        <v>120</v>
      </c>
      <c r="I55">
        <v>2</v>
      </c>
      <c r="J55">
        <v>20</v>
      </c>
      <c r="K55">
        <v>6</v>
      </c>
    </row>
    <row r="56" spans="3:11" x14ac:dyDescent="0.25">
      <c r="C56" t="s">
        <v>207</v>
      </c>
      <c r="D56">
        <v>1</v>
      </c>
      <c r="E56" t="s">
        <v>179</v>
      </c>
      <c r="F56">
        <v>50</v>
      </c>
      <c r="G56" t="s">
        <v>28</v>
      </c>
      <c r="H56">
        <v>70</v>
      </c>
      <c r="I56">
        <v>5</v>
      </c>
      <c r="J56">
        <v>0</v>
      </c>
      <c r="K56">
        <v>6</v>
      </c>
    </row>
    <row r="57" spans="3:11" x14ac:dyDescent="0.25">
      <c r="C57" t="s">
        <v>208</v>
      </c>
      <c r="D57">
        <v>56</v>
      </c>
      <c r="F57">
        <v>0</v>
      </c>
      <c r="H57">
        <v>70</v>
      </c>
      <c r="I57">
        <v>2.5</v>
      </c>
      <c r="J57">
        <v>4</v>
      </c>
      <c r="K57">
        <v>9</v>
      </c>
    </row>
    <row r="58" spans="3:11" x14ac:dyDescent="0.25">
      <c r="C58" t="s">
        <v>209</v>
      </c>
      <c r="D58">
        <v>56</v>
      </c>
      <c r="F58">
        <v>0</v>
      </c>
      <c r="H58">
        <v>50</v>
      </c>
      <c r="I58">
        <v>1</v>
      </c>
      <c r="J58">
        <v>2</v>
      </c>
      <c r="K58">
        <v>9</v>
      </c>
    </row>
    <row r="59" spans="3:11" x14ac:dyDescent="0.25">
      <c r="C59" t="s">
        <v>210</v>
      </c>
      <c r="D59">
        <v>1</v>
      </c>
      <c r="E59" t="s">
        <v>239</v>
      </c>
      <c r="H59">
        <v>32</v>
      </c>
      <c r="I59">
        <v>0.4</v>
      </c>
      <c r="J59">
        <v>7</v>
      </c>
      <c r="K59">
        <v>1</v>
      </c>
    </row>
    <row r="60" spans="3:11" x14ac:dyDescent="0.25">
      <c r="C60" t="s">
        <v>211</v>
      </c>
      <c r="D60">
        <v>240</v>
      </c>
      <c r="F60">
        <v>0</v>
      </c>
      <c r="H60">
        <v>130</v>
      </c>
      <c r="I60">
        <v>5</v>
      </c>
      <c r="J60">
        <v>13</v>
      </c>
      <c r="K60">
        <v>8</v>
      </c>
    </row>
    <row r="61" spans="3:11" x14ac:dyDescent="0.25">
      <c r="C61" t="s">
        <v>191</v>
      </c>
      <c r="D61">
        <v>1.5</v>
      </c>
      <c r="E61" t="s">
        <v>30</v>
      </c>
      <c r="F61">
        <v>85</v>
      </c>
      <c r="G61" t="s">
        <v>28</v>
      </c>
      <c r="H61">
        <v>10</v>
      </c>
      <c r="I61">
        <v>0</v>
      </c>
      <c r="J61">
        <v>3</v>
      </c>
      <c r="K61">
        <v>1</v>
      </c>
    </row>
    <row r="62" spans="3:11" x14ac:dyDescent="0.25">
      <c r="C62" t="s">
        <v>212</v>
      </c>
      <c r="D62">
        <v>6.8</v>
      </c>
      <c r="E62" t="s">
        <v>29</v>
      </c>
      <c r="F62">
        <v>0</v>
      </c>
      <c r="H62">
        <v>80</v>
      </c>
      <c r="I62">
        <v>0</v>
      </c>
      <c r="J62">
        <v>34</v>
      </c>
      <c r="K62">
        <v>0</v>
      </c>
    </row>
    <row r="63" spans="3:11" x14ac:dyDescent="0.25">
      <c r="C63" t="s">
        <v>190</v>
      </c>
      <c r="D63">
        <v>156</v>
      </c>
      <c r="E63" t="s">
        <v>28</v>
      </c>
      <c r="F63">
        <v>0</v>
      </c>
      <c r="H63">
        <v>53</v>
      </c>
      <c r="I63">
        <v>0.3</v>
      </c>
      <c r="J63">
        <v>12.7</v>
      </c>
      <c r="K63">
        <v>1.3</v>
      </c>
    </row>
    <row r="64" spans="3:11" x14ac:dyDescent="0.25">
      <c r="C64" t="s">
        <v>213</v>
      </c>
      <c r="D64">
        <v>112</v>
      </c>
      <c r="E64" t="s">
        <v>28</v>
      </c>
      <c r="F64">
        <v>0</v>
      </c>
      <c r="H64">
        <v>170</v>
      </c>
      <c r="I64">
        <v>8</v>
      </c>
      <c r="J64">
        <v>0</v>
      </c>
      <c r="K64">
        <v>23</v>
      </c>
    </row>
    <row r="65" spans="3:11" x14ac:dyDescent="0.25">
      <c r="C65" t="s">
        <v>214</v>
      </c>
      <c r="D65">
        <v>1</v>
      </c>
      <c r="E65" t="s">
        <v>30</v>
      </c>
      <c r="F65">
        <v>0</v>
      </c>
      <c r="H65">
        <v>62</v>
      </c>
      <c r="I65">
        <v>0.7</v>
      </c>
      <c r="J65">
        <v>13.8</v>
      </c>
      <c r="K65">
        <v>2</v>
      </c>
    </row>
    <row r="66" spans="3:11" x14ac:dyDescent="0.25">
      <c r="C66" t="s">
        <v>215</v>
      </c>
      <c r="D66">
        <v>0.25</v>
      </c>
      <c r="E66" t="s">
        <v>216</v>
      </c>
      <c r="F66">
        <v>0</v>
      </c>
      <c r="H66">
        <v>5</v>
      </c>
      <c r="I66">
        <v>0</v>
      </c>
      <c r="J66">
        <v>1</v>
      </c>
      <c r="K66">
        <v>0</v>
      </c>
    </row>
    <row r="67" spans="3:11" x14ac:dyDescent="0.25">
      <c r="C67" t="s">
        <v>217</v>
      </c>
      <c r="D67">
        <v>1</v>
      </c>
      <c r="E67" t="s">
        <v>29</v>
      </c>
      <c r="F67">
        <v>28</v>
      </c>
      <c r="G67" t="s">
        <v>28</v>
      </c>
      <c r="H67">
        <v>190</v>
      </c>
      <c r="I67">
        <v>18</v>
      </c>
      <c r="J67">
        <v>4</v>
      </c>
      <c r="K67">
        <v>4</v>
      </c>
    </row>
    <row r="68" spans="3:11" x14ac:dyDescent="0.25">
      <c r="C68" t="s">
        <v>218</v>
      </c>
      <c r="D68">
        <v>1</v>
      </c>
      <c r="E68" t="s">
        <v>219</v>
      </c>
      <c r="F68">
        <v>26</v>
      </c>
      <c r="G68" t="s">
        <v>28</v>
      </c>
      <c r="H68">
        <v>70</v>
      </c>
      <c r="I68">
        <v>0.5</v>
      </c>
      <c r="J68">
        <v>13</v>
      </c>
      <c r="K68">
        <v>3</v>
      </c>
    </row>
    <row r="69" spans="3:11" x14ac:dyDescent="0.25">
      <c r="C69" t="s">
        <v>220</v>
      </c>
      <c r="D69">
        <v>0</v>
      </c>
      <c r="F69">
        <v>0</v>
      </c>
      <c r="H69">
        <v>62</v>
      </c>
      <c r="I69">
        <v>0.4</v>
      </c>
      <c r="J69">
        <v>15.7</v>
      </c>
      <c r="K69">
        <v>0.68</v>
      </c>
    </row>
    <row r="70" spans="3:11" x14ac:dyDescent="0.25">
      <c r="C70" t="s">
        <v>221</v>
      </c>
      <c r="D70">
        <v>0.75</v>
      </c>
      <c r="E70" t="s">
        <v>30</v>
      </c>
      <c r="F70">
        <v>56</v>
      </c>
      <c r="G70" t="s">
        <v>28</v>
      </c>
      <c r="H70">
        <v>200</v>
      </c>
      <c r="I70">
        <v>1</v>
      </c>
      <c r="J70">
        <v>41</v>
      </c>
      <c r="K70">
        <v>7</v>
      </c>
    </row>
    <row r="71" spans="3:11" x14ac:dyDescent="0.25">
      <c r="C71" t="s">
        <v>222</v>
      </c>
      <c r="D71">
        <v>80</v>
      </c>
      <c r="E71" t="s">
        <v>28</v>
      </c>
      <c r="F71">
        <v>0</v>
      </c>
      <c r="H71">
        <v>8</v>
      </c>
      <c r="I71">
        <v>0.1</v>
      </c>
      <c r="J71">
        <v>1.9</v>
      </c>
      <c r="K71">
        <v>0.34</v>
      </c>
    </row>
    <row r="72" spans="3:11" x14ac:dyDescent="0.25">
      <c r="C72" t="s">
        <v>223</v>
      </c>
      <c r="D72">
        <v>101</v>
      </c>
      <c r="E72" t="s">
        <v>28</v>
      </c>
      <c r="F72">
        <v>0</v>
      </c>
      <c r="H72">
        <v>90</v>
      </c>
      <c r="I72">
        <v>0</v>
      </c>
      <c r="J72">
        <v>0</v>
      </c>
      <c r="K72">
        <v>1.1000000000000001</v>
      </c>
    </row>
    <row r="73" spans="3:11" x14ac:dyDescent="0.25">
      <c r="C73" t="s">
        <v>224</v>
      </c>
      <c r="D73">
        <v>0</v>
      </c>
      <c r="F73">
        <v>0</v>
      </c>
      <c r="H73">
        <v>140</v>
      </c>
      <c r="I73">
        <v>4</v>
      </c>
      <c r="J73">
        <v>0</v>
      </c>
      <c r="K73">
        <v>25</v>
      </c>
    </row>
    <row r="74" spans="3:11" x14ac:dyDescent="0.25">
      <c r="C74" t="s">
        <v>225</v>
      </c>
      <c r="D74">
        <v>1</v>
      </c>
      <c r="E74" t="s">
        <v>29</v>
      </c>
      <c r="F74">
        <v>0</v>
      </c>
      <c r="H74">
        <v>90</v>
      </c>
      <c r="I74">
        <v>7</v>
      </c>
      <c r="J74">
        <v>1</v>
      </c>
      <c r="K74">
        <v>6</v>
      </c>
    </row>
    <row r="75" spans="3:11" x14ac:dyDescent="0.25">
      <c r="C75" t="s">
        <v>226</v>
      </c>
      <c r="D75">
        <v>1</v>
      </c>
      <c r="E75" t="s">
        <v>29</v>
      </c>
      <c r="F75">
        <v>28</v>
      </c>
      <c r="G75" t="s">
        <v>28</v>
      </c>
      <c r="H75">
        <v>100</v>
      </c>
      <c r="I75">
        <v>8</v>
      </c>
      <c r="J75">
        <v>0</v>
      </c>
      <c r="K75">
        <v>7</v>
      </c>
    </row>
    <row r="76" spans="3:11" x14ac:dyDescent="0.25">
      <c r="C76" t="s">
        <v>227</v>
      </c>
      <c r="D76">
        <v>4</v>
      </c>
      <c r="E76" t="s">
        <v>29</v>
      </c>
      <c r="F76">
        <v>112</v>
      </c>
      <c r="G76" t="s">
        <v>28</v>
      </c>
      <c r="H76">
        <v>2</v>
      </c>
      <c r="I76">
        <v>15</v>
      </c>
      <c r="J76">
        <v>19</v>
      </c>
      <c r="K76">
        <v>23</v>
      </c>
    </row>
    <row r="77" spans="3:11" x14ac:dyDescent="0.25">
      <c r="C77" t="s">
        <v>228</v>
      </c>
      <c r="D77">
        <v>31</v>
      </c>
      <c r="F77">
        <v>0</v>
      </c>
      <c r="H77">
        <v>10</v>
      </c>
      <c r="I77">
        <v>0</v>
      </c>
      <c r="J77">
        <v>2</v>
      </c>
      <c r="K77">
        <v>0</v>
      </c>
    </row>
    <row r="78" spans="3:11" x14ac:dyDescent="0.25">
      <c r="C78" t="s">
        <v>229</v>
      </c>
      <c r="D78">
        <v>98</v>
      </c>
      <c r="E78" t="s">
        <v>28</v>
      </c>
      <c r="F78">
        <v>0</v>
      </c>
      <c r="H78">
        <v>21</v>
      </c>
      <c r="I78">
        <v>0.4</v>
      </c>
      <c r="J78">
        <v>3.9</v>
      </c>
      <c r="K78">
        <v>1.5</v>
      </c>
    </row>
    <row r="79" spans="3:11" x14ac:dyDescent="0.25">
      <c r="C79" t="s">
        <v>230</v>
      </c>
      <c r="D79">
        <v>1</v>
      </c>
      <c r="E79" t="s">
        <v>231</v>
      </c>
      <c r="F79">
        <v>49</v>
      </c>
      <c r="G79" t="s">
        <v>28</v>
      </c>
      <c r="H79">
        <v>140</v>
      </c>
      <c r="I79">
        <v>3</v>
      </c>
      <c r="J79">
        <v>26</v>
      </c>
      <c r="K79">
        <v>4</v>
      </c>
    </row>
    <row r="80" spans="3:11" x14ac:dyDescent="0.25">
      <c r="C80" t="s">
        <v>232</v>
      </c>
      <c r="D80">
        <v>2</v>
      </c>
      <c r="E80" t="s">
        <v>233</v>
      </c>
      <c r="F80">
        <v>47</v>
      </c>
      <c r="G80" t="s">
        <v>28</v>
      </c>
      <c r="H80">
        <v>100</v>
      </c>
      <c r="I80">
        <v>1.5</v>
      </c>
      <c r="J80">
        <v>20</v>
      </c>
      <c r="K80">
        <v>2</v>
      </c>
    </row>
    <row r="81" spans="1:25" x14ac:dyDescent="0.25">
      <c r="C81" t="s">
        <v>234</v>
      </c>
      <c r="D81">
        <v>2</v>
      </c>
      <c r="E81" t="s">
        <v>235</v>
      </c>
      <c r="F81">
        <v>0</v>
      </c>
      <c r="H81">
        <v>150</v>
      </c>
      <c r="I81">
        <v>6</v>
      </c>
      <c r="J81">
        <v>22</v>
      </c>
      <c r="K81">
        <v>2</v>
      </c>
    </row>
    <row r="82" spans="1:25" x14ac:dyDescent="0.25">
      <c r="C82" t="s">
        <v>236</v>
      </c>
      <c r="D82">
        <v>1.5</v>
      </c>
      <c r="E82" t="s">
        <v>30</v>
      </c>
      <c r="F82">
        <v>0</v>
      </c>
      <c r="H82">
        <v>90</v>
      </c>
      <c r="I82">
        <v>1</v>
      </c>
      <c r="J82">
        <v>24</v>
      </c>
      <c r="K82">
        <v>1</v>
      </c>
    </row>
    <row r="83" spans="1:25" x14ac:dyDescent="0.25">
      <c r="C83" t="s">
        <v>237</v>
      </c>
      <c r="D83">
        <v>0.75</v>
      </c>
      <c r="E83" t="s">
        <v>204</v>
      </c>
      <c r="F83">
        <v>170</v>
      </c>
      <c r="G83" t="s">
        <v>28</v>
      </c>
      <c r="H83">
        <v>130</v>
      </c>
      <c r="I83">
        <v>1.5</v>
      </c>
      <c r="J83">
        <v>26</v>
      </c>
      <c r="K83">
        <v>5</v>
      </c>
    </row>
    <row r="84" spans="1:25" x14ac:dyDescent="0.25">
      <c r="C84" t="s">
        <v>238</v>
      </c>
      <c r="D84">
        <v>85</v>
      </c>
      <c r="E84" t="s">
        <v>28</v>
      </c>
      <c r="F84">
        <v>0</v>
      </c>
      <c r="H84">
        <v>35</v>
      </c>
      <c r="I84">
        <v>0</v>
      </c>
      <c r="J84">
        <v>8</v>
      </c>
      <c r="K84">
        <v>1</v>
      </c>
    </row>
    <row r="85" spans="1:25" x14ac:dyDescent="0.25">
      <c r="A85" t="s">
        <v>247</v>
      </c>
      <c r="B85" t="s">
        <v>248</v>
      </c>
      <c r="C85" t="s">
        <v>249</v>
      </c>
      <c r="D85">
        <v>57</v>
      </c>
      <c r="E85" t="s">
        <v>28</v>
      </c>
      <c r="F85">
        <v>2</v>
      </c>
      <c r="G85" t="s">
        <v>29</v>
      </c>
      <c r="H85">
        <v>130</v>
      </c>
      <c r="I85">
        <v>9</v>
      </c>
      <c r="J85">
        <v>1</v>
      </c>
      <c r="K85">
        <v>13</v>
      </c>
      <c r="L85">
        <v>1</v>
      </c>
      <c r="M85">
        <v>6</v>
      </c>
      <c r="N85">
        <v>0</v>
      </c>
      <c r="O85">
        <v>0</v>
      </c>
      <c r="R85">
        <v>170</v>
      </c>
      <c r="S85">
        <v>1.5</v>
      </c>
      <c r="T85">
        <v>750</v>
      </c>
      <c r="U85">
        <v>1</v>
      </c>
      <c r="V85">
        <v>0</v>
      </c>
      <c r="Y85">
        <v>6</v>
      </c>
    </row>
    <row r="86" spans="1:25" x14ac:dyDescent="0.25">
      <c r="A86" t="s">
        <v>250</v>
      </c>
      <c r="B86" t="s">
        <v>251</v>
      </c>
      <c r="C86" t="s">
        <v>252</v>
      </c>
      <c r="D86">
        <v>96</v>
      </c>
      <c r="E86" t="s">
        <v>28</v>
      </c>
      <c r="F86">
        <v>0.75</v>
      </c>
      <c r="G86" t="s">
        <v>253</v>
      </c>
      <c r="H86">
        <v>20</v>
      </c>
      <c r="I86">
        <v>0</v>
      </c>
      <c r="J86">
        <v>4</v>
      </c>
      <c r="K86">
        <v>2</v>
      </c>
      <c r="N86">
        <v>2</v>
      </c>
      <c r="P86">
        <v>0</v>
      </c>
      <c r="Q86">
        <v>0</v>
      </c>
      <c r="R86">
        <v>230</v>
      </c>
      <c r="S86">
        <v>0</v>
      </c>
      <c r="T86">
        <v>20</v>
      </c>
      <c r="U86">
        <v>2</v>
      </c>
      <c r="V8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BC9E-77D0-4D02-B348-941B6D2A2018}">
  <dimension ref="A1:C8"/>
  <sheetViews>
    <sheetView workbookViewId="0">
      <selection activeCell="C5" sqref="C5"/>
    </sheetView>
  </sheetViews>
  <sheetFormatPr defaultRowHeight="15" x14ac:dyDescent="0.25"/>
  <cols>
    <col min="1" max="1" width="10" bestFit="1" customWidth="1"/>
    <col min="3" max="3" width="11.140625" bestFit="1" customWidth="1"/>
  </cols>
  <sheetData>
    <row r="1" spans="1:3" x14ac:dyDescent="0.25">
      <c r="A1" t="s">
        <v>246</v>
      </c>
      <c r="C1" t="s">
        <v>254</v>
      </c>
    </row>
    <row r="2" spans="1:3" x14ac:dyDescent="0.25">
      <c r="A2" s="9" t="s">
        <v>85</v>
      </c>
      <c r="C2" s="21" t="s">
        <v>169</v>
      </c>
    </row>
    <row r="3" spans="1:3" x14ac:dyDescent="0.25">
      <c r="A3" s="9" t="s">
        <v>241</v>
      </c>
      <c r="C3" s="21" t="s">
        <v>57</v>
      </c>
    </row>
    <row r="4" spans="1:3" x14ac:dyDescent="0.25">
      <c r="A4" s="9" t="s">
        <v>242</v>
      </c>
      <c r="C4" s="21" t="s">
        <v>58</v>
      </c>
    </row>
    <row r="5" spans="1:3" x14ac:dyDescent="0.25">
      <c r="A5" s="9" t="s">
        <v>243</v>
      </c>
      <c r="C5" s="21" t="s">
        <v>59</v>
      </c>
    </row>
    <row r="6" spans="1:3" x14ac:dyDescent="0.25">
      <c r="A6" s="9" t="s">
        <v>244</v>
      </c>
      <c r="C6" s="21" t="s">
        <v>60</v>
      </c>
    </row>
    <row r="7" spans="1:3" x14ac:dyDescent="0.25">
      <c r="A7" s="9" t="s">
        <v>240</v>
      </c>
    </row>
    <row r="8" spans="1:3" x14ac:dyDescent="0.25">
      <c r="A8" s="9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D0F9-AC46-4EDB-A352-5C463B5B3A32}">
  <dimension ref="A2:AX31"/>
  <sheetViews>
    <sheetView zoomScaleNormal="100" workbookViewId="0">
      <selection activeCell="J35" sqref="J35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9.140625" customWidth="1"/>
    <col min="7" max="7" width="13.5703125" bestFit="1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bestFit="1" customWidth="1"/>
    <col min="27" max="27" width="19" bestFit="1" customWidth="1"/>
    <col min="28" max="28" width="23.85546875" bestFit="1" customWidth="1"/>
    <col min="29" max="29" width="32.5703125" bestFit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ht="15.75" thickBot="1" x14ac:dyDescent="0.3"/>
    <row r="3" spans="1:47" ht="16.5" thickTop="1" thickBot="1" x14ac:dyDescent="0.3">
      <c r="G3" s="5" t="s">
        <v>52</v>
      </c>
      <c r="H3" s="5" t="s">
        <v>53</v>
      </c>
      <c r="I3" s="5" t="s">
        <v>55</v>
      </c>
      <c r="J3" s="5" t="s">
        <v>56</v>
      </c>
      <c r="K3" s="5" t="s">
        <v>54</v>
      </c>
      <c r="L3" s="8" t="s">
        <v>71</v>
      </c>
      <c r="M3" s="8" t="s">
        <v>72</v>
      </c>
      <c r="N3" s="8" t="s">
        <v>65</v>
      </c>
      <c r="O3" s="8" t="s">
        <v>73</v>
      </c>
      <c r="P3" s="8" t="s">
        <v>74</v>
      </c>
      <c r="Q3" s="8" t="s">
        <v>75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77</v>
      </c>
      <c r="X3" s="8" t="s">
        <v>78</v>
      </c>
      <c r="Y3" s="8" t="s">
        <v>76</v>
      </c>
    </row>
    <row r="4" spans="1:47" ht="15.75" thickTop="1" x14ac:dyDescent="0.25">
      <c r="G4" s="5" t="s">
        <v>169</v>
      </c>
      <c r="H4" s="5">
        <f>I4*9+J4*4+K4*4</f>
        <v>2425.8000000000002</v>
      </c>
      <c r="I4" s="5">
        <v>57</v>
      </c>
      <c r="J4" s="5">
        <v>300</v>
      </c>
      <c r="K4" s="5">
        <v>178.2</v>
      </c>
    </row>
    <row r="5" spans="1:47" x14ac:dyDescent="0.25">
      <c r="G5" s="2" t="s">
        <v>57</v>
      </c>
      <c r="H5" s="2">
        <v>2358.6999999999998</v>
      </c>
      <c r="I5" s="2">
        <v>63.5</v>
      </c>
      <c r="J5" s="2">
        <v>268.60000000000002</v>
      </c>
      <c r="K5" s="2">
        <v>178.2</v>
      </c>
    </row>
    <row r="6" spans="1:47" x14ac:dyDescent="0.25">
      <c r="G6" s="10" t="s">
        <v>58</v>
      </c>
      <c r="H6" s="5">
        <v>2858.7</v>
      </c>
      <c r="I6" s="5">
        <v>63.5</v>
      </c>
      <c r="J6" s="5">
        <v>393.6</v>
      </c>
      <c r="K6" s="5">
        <v>178.2</v>
      </c>
      <c r="L6">
        <v>71</v>
      </c>
      <c r="M6">
        <v>1000</v>
      </c>
      <c r="N6">
        <v>38</v>
      </c>
      <c r="O6">
        <v>8</v>
      </c>
      <c r="P6">
        <f>I6</f>
        <v>63.5</v>
      </c>
      <c r="Q6">
        <f>I6</f>
        <v>63.5</v>
      </c>
      <c r="R6">
        <v>3400</v>
      </c>
      <c r="S6">
        <v>32</v>
      </c>
      <c r="T6">
        <v>2300</v>
      </c>
      <c r="V6">
        <v>2.8</v>
      </c>
      <c r="W6">
        <v>900</v>
      </c>
      <c r="X6">
        <v>90</v>
      </c>
      <c r="Y6">
        <v>20</v>
      </c>
    </row>
    <row r="7" spans="1:47" ht="15" customHeight="1" x14ac:dyDescent="0.25">
      <c r="G7" s="2" t="s">
        <v>59</v>
      </c>
      <c r="H7" s="2">
        <v>2858.7</v>
      </c>
      <c r="I7" s="2">
        <v>63.5</v>
      </c>
      <c r="J7" s="2">
        <v>442.2</v>
      </c>
      <c r="K7" s="2">
        <v>129.6</v>
      </c>
    </row>
    <row r="8" spans="1:47" ht="15" customHeight="1" x14ac:dyDescent="0.25">
      <c r="G8" s="2" t="s">
        <v>60</v>
      </c>
      <c r="H8" s="2">
        <v>3358.7</v>
      </c>
      <c r="I8" s="2">
        <v>63.5</v>
      </c>
      <c r="J8" s="2">
        <v>518.6</v>
      </c>
      <c r="K8" s="2">
        <v>178.2</v>
      </c>
    </row>
    <row r="9" spans="1:47" ht="15" customHeight="1" x14ac:dyDescent="0.25">
      <c r="G9" s="12" t="s">
        <v>61</v>
      </c>
      <c r="H9" s="4">
        <f>SUM(H13:H1048576)</f>
        <v>2873.7116402116403</v>
      </c>
      <c r="I9" s="4">
        <f>SUM(I13:I1048576)</f>
        <v>63.230158730158735</v>
      </c>
      <c r="J9" s="4">
        <f>SUM(J13:J1048576)</f>
        <v>400.18730158730159</v>
      </c>
      <c r="K9" s="4">
        <f>SUM(K13:K1048576)</f>
        <v>185.19206349206348</v>
      </c>
      <c r="L9" s="4">
        <f>SUM(L13:L1048576)</f>
        <v>12</v>
      </c>
      <c r="M9" s="4">
        <f>SUM(M13:M1048576)</f>
        <v>765.13439153439151</v>
      </c>
      <c r="N9" s="4">
        <f>SUM(N13:N1048576)</f>
        <v>6.25</v>
      </c>
      <c r="O9" s="4">
        <f>SUM(O13:O1048576)</f>
        <v>3.9547619047619049</v>
      </c>
      <c r="P9" s="4">
        <f>SUM(P13:P1048576)</f>
        <v>24.25</v>
      </c>
      <c r="Q9" s="4">
        <f>SUM(Q13:Q1048576)</f>
        <v>6.9583333333333339</v>
      </c>
      <c r="R9" s="4">
        <f>SUM(R13:R1048576)</f>
        <v>3290.1785714285716</v>
      </c>
      <c r="S9" s="4">
        <f>SUM(S13:S1048576)</f>
        <v>10.172222222222222</v>
      </c>
      <c r="T9" s="4">
        <f>SUM(T13:T1048576)</f>
        <v>3635.761904761905</v>
      </c>
      <c r="U9" s="4">
        <f>SUM(U13:U1048576)</f>
        <v>81.594444444444449</v>
      </c>
      <c r="V9" s="4">
        <f>SUM(V13:V1048576)</f>
        <v>0</v>
      </c>
      <c r="W9" s="4">
        <f>SUM(W13:W1048576)</f>
        <v>1025</v>
      </c>
      <c r="X9" s="4">
        <f>SUM(X13:X1048576)</f>
        <v>59</v>
      </c>
      <c r="Y9" s="4">
        <f>SUM(Y13:Y1048576)</f>
        <v>26.5</v>
      </c>
    </row>
    <row r="10" spans="1:47" ht="15" customHeight="1" x14ac:dyDescent="0.25">
      <c r="F10" s="11" t="s">
        <v>255</v>
      </c>
      <c r="G10" s="5" t="s">
        <v>58</v>
      </c>
      <c r="H10" s="23">
        <f>H9-VLOOKUP($G10,$G$3:$Y$8,COLUMN(H3)-6,FALSE)</f>
        <v>15.011640211640497</v>
      </c>
      <c r="I10" s="23">
        <f>I9-VLOOKUP($G10,$G$3:$Y$8,COLUMN(I3)-6,FALSE)</f>
        <v>-0.26984126984126533</v>
      </c>
      <c r="J10" s="23">
        <f>J9-VLOOKUP($G10,$G$3:$Y$8,COLUMN(J3)-6,FALSE)</f>
        <v>6.5873015873015675</v>
      </c>
      <c r="K10" s="23">
        <f>K9-VLOOKUP($G10,$G$3:$Y$8,COLUMN(K3)-6,FALSE)</f>
        <v>6.9920634920634939</v>
      </c>
      <c r="L10" s="23">
        <f>L9-VLOOKUP($G10,$G$3:$Y$8,COLUMN(L3)-6,FALSE)</f>
        <v>-59</v>
      </c>
      <c r="M10" s="23">
        <f>M9-VLOOKUP($G10,$G$3:$Y$8,COLUMN(M3)-6,FALSE)</f>
        <v>-234.86560846560849</v>
      </c>
      <c r="N10" s="23">
        <f>N9-VLOOKUP($G10,$G$3:$Y$8,COLUMN(N3)-6,FALSE)</f>
        <v>-31.75</v>
      </c>
      <c r="O10" s="23">
        <f>O9-VLOOKUP($G10,$G$3:$Y$8,COLUMN(O3)-6,FALSE)</f>
        <v>-4.0452380952380951</v>
      </c>
      <c r="P10" s="23">
        <f>P9-VLOOKUP($G10,$G$3:$Y$8,COLUMN(P3)-6,FALSE)</f>
        <v>-39.25</v>
      </c>
      <c r="Q10" s="23">
        <f>Q9-VLOOKUP($G10,$G$3:$Y$8,COLUMN(Q3)-6,FALSE)</f>
        <v>-56.541666666666664</v>
      </c>
      <c r="R10" s="23">
        <f>R9-VLOOKUP($G10,$G$3:$Y$8,COLUMN(R3)-6,FALSE)</f>
        <v>-109.82142857142844</v>
      </c>
      <c r="S10" s="23">
        <f>S9-VLOOKUP($G10,$G$3:$Y$8,COLUMN(S3)-6,FALSE)</f>
        <v>-21.827777777777776</v>
      </c>
      <c r="T10" s="23">
        <f>T9-VLOOKUP($G10,$G$3:$Y$8,COLUMN(T3)-6,FALSE)</f>
        <v>1335.761904761905</v>
      </c>
      <c r="U10" s="23">
        <f>U9-VLOOKUP($G10,$G$3:$Y$8,COLUMN(U3)-6,FALSE)</f>
        <v>81.594444444444449</v>
      </c>
      <c r="V10" s="23">
        <f>V9-VLOOKUP($G10,$G$3:$Y$8,COLUMN(V3)-6,FALSE)</f>
        <v>-2.8</v>
      </c>
      <c r="W10" s="23">
        <f>W9-VLOOKUP($G10,$G$3:$Y$8,COLUMN(W3)-6,FALSE)</f>
        <v>125</v>
      </c>
      <c r="X10" s="23">
        <f>X9-VLOOKUP($G10,$G$3:$Y$8,COLUMN(X3)-6,FALSE)</f>
        <v>-31</v>
      </c>
      <c r="Y10" s="23">
        <f>Y9-VLOOKUP($G10,$G$3:$Y$8,COLUMN(Y3)-6,FALSE)</f>
        <v>6.5</v>
      </c>
    </row>
    <row r="11" spans="1:47" ht="15" customHeight="1" thickBot="1" x14ac:dyDescent="0.3"/>
    <row r="12" spans="1:47" ht="15" customHeight="1" thickTop="1" thickBot="1" x14ac:dyDescent="0.3">
      <c r="A12" s="15"/>
      <c r="B12" s="15"/>
      <c r="C12" s="15"/>
      <c r="D12" s="15"/>
      <c r="E12" s="15"/>
      <c r="F12" s="15"/>
      <c r="G12" s="16" t="s">
        <v>43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71</v>
      </c>
      <c r="M12" s="11" t="s">
        <v>72</v>
      </c>
      <c r="N12" s="11" t="s">
        <v>65</v>
      </c>
      <c r="O12" s="11" t="s">
        <v>73</v>
      </c>
      <c r="P12" s="11" t="s">
        <v>74</v>
      </c>
      <c r="Q12" s="11" t="s">
        <v>75</v>
      </c>
      <c r="R12" s="11" t="s">
        <v>66</v>
      </c>
      <c r="S12" s="11" t="s">
        <v>67</v>
      </c>
      <c r="T12" s="11" t="s">
        <v>68</v>
      </c>
      <c r="U12" s="11" t="s">
        <v>69</v>
      </c>
      <c r="V12" s="11" t="s">
        <v>70</v>
      </c>
      <c r="W12" s="11" t="s">
        <v>77</v>
      </c>
      <c r="X12" s="11" t="s">
        <v>78</v>
      </c>
      <c r="Y12" s="11" t="s">
        <v>76</v>
      </c>
      <c r="Z12" s="17" t="s">
        <v>3</v>
      </c>
      <c r="AA12" s="17" t="s">
        <v>4</v>
      </c>
      <c r="AB12" s="17" t="s">
        <v>9</v>
      </c>
      <c r="AC12" s="17" t="s">
        <v>10</v>
      </c>
      <c r="AD12" s="13" t="s">
        <v>5</v>
      </c>
      <c r="AE12" s="7" t="s">
        <v>6</v>
      </c>
      <c r="AF12" s="7" t="s">
        <v>7</v>
      </c>
      <c r="AG12" s="7" t="s">
        <v>8</v>
      </c>
      <c r="AH12" s="7" t="s">
        <v>71</v>
      </c>
      <c r="AI12" s="7" t="s">
        <v>72</v>
      </c>
      <c r="AJ12" s="7" t="s">
        <v>65</v>
      </c>
      <c r="AK12" s="7" t="s">
        <v>73</v>
      </c>
      <c r="AL12" s="7" t="s">
        <v>74</v>
      </c>
      <c r="AM12" s="7" t="s">
        <v>75</v>
      </c>
      <c r="AN12" s="7" t="s">
        <v>66</v>
      </c>
      <c r="AO12" s="7" t="s">
        <v>67</v>
      </c>
      <c r="AP12" s="7" t="s">
        <v>68</v>
      </c>
      <c r="AQ12" s="7" t="s">
        <v>69</v>
      </c>
      <c r="AR12" s="7" t="s">
        <v>70</v>
      </c>
      <c r="AS12" s="7" t="s">
        <v>77</v>
      </c>
      <c r="AT12" s="7" t="s">
        <v>78</v>
      </c>
      <c r="AU12" s="7" t="s">
        <v>76</v>
      </c>
    </row>
    <row r="13" spans="1:47" ht="15" customHeight="1" thickTop="1" x14ac:dyDescent="0.25">
      <c r="A13" s="2" t="s">
        <v>23</v>
      </c>
      <c r="B13" s="2">
        <v>170</v>
      </c>
      <c r="C13" s="2" t="str">
        <f>IF(IFERROR(VLOOKUP(A13, Servings!C:G, 3, FALSE), "")=0, "", IFERROR(VLOOKUP(A13, Servings!C:G, 3, FALSE), ""))</f>
        <v>g</v>
      </c>
      <c r="D13" s="2" t="str">
        <f>IF(IFERROR(VLOOKUP(A13, Servings!C:G, 5, FALSE), "")=0, "", IFERROR(VLOOKUP(A13, Servings!C:G, 5, FALSE), ""))</f>
        <v>cup</v>
      </c>
      <c r="E13" s="2" t="s">
        <v>28</v>
      </c>
      <c r="F13" s="5" t="s">
        <v>85</v>
      </c>
      <c r="G13" s="3">
        <f>B13/Z13</f>
        <v>0.75555555555555554</v>
      </c>
      <c r="H13" s="4">
        <f t="shared" ref="H13:H27" si="0">$G13*AD13</f>
        <v>143.55555555555554</v>
      </c>
      <c r="I13" s="4">
        <f t="shared" ref="I13:I27" si="1">$G13*AE13</f>
        <v>1.5111111111111111</v>
      </c>
      <c r="J13" s="4">
        <f t="shared" ref="J13:J27" si="2">$G13*AF13</f>
        <v>28.711111111111109</v>
      </c>
      <c r="K13" s="4">
        <f t="shared" ref="K13:K27" si="3">$G13*AG13</f>
        <v>4.5333333333333332</v>
      </c>
      <c r="L13" s="4">
        <f t="shared" ref="L13:Y13" si="4">$G13*AH13</f>
        <v>0</v>
      </c>
      <c r="M13" s="4">
        <f t="shared" si="4"/>
        <v>0</v>
      </c>
      <c r="N13" s="4">
        <f t="shared" si="4"/>
        <v>0</v>
      </c>
      <c r="O13" s="4">
        <f t="shared" si="4"/>
        <v>0</v>
      </c>
      <c r="P13" s="4">
        <f t="shared" si="4"/>
        <v>0</v>
      </c>
      <c r="Q13" s="4">
        <f t="shared" si="4"/>
        <v>0</v>
      </c>
      <c r="R13" s="4">
        <f t="shared" si="4"/>
        <v>226.66666666666666</v>
      </c>
      <c r="S13" s="4">
        <f t="shared" si="4"/>
        <v>0.75555555555555554</v>
      </c>
      <c r="T13" s="4">
        <f t="shared" si="4"/>
        <v>79.333333333333329</v>
      </c>
      <c r="U13" s="4">
        <f t="shared" si="4"/>
        <v>24.177777777777777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2">
        <f>VLOOKUP($A13,Servings!$C:$K,2,FALSE)</f>
        <v>225</v>
      </c>
      <c r="AA13" s="2" t="str">
        <f>VLOOKUP($A13,Servings!$C:$K,3,FALSE)</f>
        <v>g</v>
      </c>
      <c r="AB13" s="2">
        <f>VLOOKUP($A13,Servings!$C:$K,4,FALSE)</f>
        <v>1</v>
      </c>
      <c r="AC13" s="2" t="str">
        <f>VLOOKUP($A13,Servings!$C:$K,5,FALSE)</f>
        <v>cup</v>
      </c>
      <c r="AD13" s="14">
        <f>VLOOKUP($A13,Servings!$C:$K,6,FALSE)</f>
        <v>190</v>
      </c>
      <c r="AE13" s="2">
        <f>VLOOKUP($A13,Servings!$C:$K,7,FALSE)</f>
        <v>2</v>
      </c>
      <c r="AF13" s="2">
        <f>VLOOKUP($A13,Servings!$C:$K,8,FALSE)</f>
        <v>38</v>
      </c>
      <c r="AG13" s="2">
        <f>VLOOKUP($A13,Servings!$C:$K,9,FALSE)</f>
        <v>6</v>
      </c>
      <c r="AH13">
        <f>VLOOKUP($A13,Servings!$C:$Y,10,FALSE)</f>
        <v>0</v>
      </c>
      <c r="AI13">
        <f>VLOOKUP($A13,Servings!$C:$Y,11,FALSE)</f>
        <v>0</v>
      </c>
      <c r="AJ13">
        <f>VLOOKUP($A13,Servings!$C:$Y,12,FALSE)</f>
        <v>0</v>
      </c>
      <c r="AK13">
        <f>VLOOKUP($A13,Servings!$C:$Y,13,FALSE)</f>
        <v>0</v>
      </c>
      <c r="AL13">
        <f>VLOOKUP($A13,Servings!$C:$Y,14,FALSE)</f>
        <v>0</v>
      </c>
      <c r="AM13">
        <f>VLOOKUP($A13,Servings!$C:$Y,15,FALSE)</f>
        <v>0</v>
      </c>
      <c r="AN13">
        <f>VLOOKUP($A13,Servings!$C:$Y,16,FALSE)</f>
        <v>300</v>
      </c>
      <c r="AO13">
        <f>VLOOKUP($A13,Servings!$C:$Y,17,FALSE)</f>
        <v>1</v>
      </c>
      <c r="AP13">
        <f>VLOOKUP($A13,Servings!$C:$Y,18,FALSE)</f>
        <v>105</v>
      </c>
      <c r="AQ13">
        <f>VLOOKUP($A13,Servings!$C:$Y,19,FALSE)</f>
        <v>32</v>
      </c>
      <c r="AR13">
        <f>VLOOKUP($A13,Servings!$C:$Y,20,FALSE)</f>
        <v>0</v>
      </c>
      <c r="AS13">
        <f>VLOOKUP($A13,Servings!$C:$Y,21,FALSE)</f>
        <v>0</v>
      </c>
      <c r="AT13">
        <f>VLOOKUP($A13,Servings!$C:$Y,22,FALSE)</f>
        <v>0</v>
      </c>
      <c r="AU13">
        <f>VLOOKUP($A13,Servings!$C:$Y,23,FALSE)</f>
        <v>0</v>
      </c>
    </row>
    <row r="14" spans="1:47" ht="15" customHeight="1" x14ac:dyDescent="0.25">
      <c r="A14" s="2" t="s">
        <v>24</v>
      </c>
      <c r="B14" s="2">
        <v>10</v>
      </c>
      <c r="C14" s="2" t="str">
        <f>IF(IFERROR(VLOOKUP(A14, Servings!C:G, 3, FALSE), "")=0, "", IFERROR(VLOOKUP(A14, Servings!C:G, 3, FALSE), ""))</f>
        <v>oz</v>
      </c>
      <c r="D14" s="2" t="str">
        <f>IF(IFERROR(VLOOKUP(A14, Servings!C:G, 5, FALSE), "")=0, "", IFERROR(VLOOKUP(A14, Servings!C:G, 5, FALSE), ""))</f>
        <v>nuts</v>
      </c>
      <c r="E14" s="2" t="s">
        <v>31</v>
      </c>
      <c r="F14" s="5" t="s">
        <v>143</v>
      </c>
      <c r="G14" s="3">
        <f>B14/AB14</f>
        <v>0.41666666666666669</v>
      </c>
      <c r="H14" s="4">
        <f t="shared" si="0"/>
        <v>66.666666666666671</v>
      </c>
      <c r="I14" s="4">
        <f t="shared" si="1"/>
        <v>5.8333333333333339</v>
      </c>
      <c r="J14" s="4">
        <f t="shared" si="2"/>
        <v>2.5</v>
      </c>
      <c r="K14" s="4">
        <f t="shared" si="3"/>
        <v>2.5</v>
      </c>
      <c r="L14" s="4">
        <f t="shared" ref="L14:L27" si="5">$G14*AH14</f>
        <v>0</v>
      </c>
      <c r="M14" s="4">
        <f t="shared" ref="M14:M27" si="6">$G14*AI14</f>
        <v>29.166666666666668</v>
      </c>
      <c r="N14" s="4">
        <f t="shared" ref="N14:N27" si="7">$G14*AJ14</f>
        <v>1.25</v>
      </c>
      <c r="O14" s="4">
        <f t="shared" ref="O14:O27" si="8">$G14*AK14</f>
        <v>0.45833333333333337</v>
      </c>
      <c r="P14" s="4">
        <f t="shared" ref="P14:P27" si="9">$G14*AL14</f>
        <v>3.75</v>
      </c>
      <c r="Q14" s="4">
        <f t="shared" ref="Q14:Q27" si="10">$G14*AM14</f>
        <v>1.4583333333333335</v>
      </c>
      <c r="R14" s="4">
        <f t="shared" ref="R14:R27" si="11">$G14*AN14</f>
        <v>83.333333333333343</v>
      </c>
      <c r="S14" s="4">
        <f t="shared" ref="S14:S27" si="12">$G14*AO14</f>
        <v>0.41666666666666669</v>
      </c>
      <c r="T14" s="4">
        <f t="shared" ref="T14:T27" si="13">$G14*AP14</f>
        <v>0</v>
      </c>
      <c r="U14" s="4">
        <f t="shared" ref="U14:U27" si="14">$G14*AQ14</f>
        <v>0.41666666666666669</v>
      </c>
      <c r="V14" s="4">
        <f t="shared" ref="V14:V27" si="15">$G14*AR14</f>
        <v>0</v>
      </c>
      <c r="W14" s="4">
        <f t="shared" ref="W14:W27" si="16">$G14*AS14</f>
        <v>0</v>
      </c>
      <c r="X14" s="4">
        <f t="shared" ref="X14:X27" si="17">$G14*AT14</f>
        <v>0</v>
      </c>
      <c r="Y14" s="4">
        <f t="shared" ref="Y14:Y27" si="18">$G14*AU14</f>
        <v>0</v>
      </c>
      <c r="Z14" s="2">
        <f>VLOOKUP($A14,Servings!$C:$K,2,FALSE)</f>
        <v>28.34</v>
      </c>
      <c r="AA14" s="2" t="str">
        <f>VLOOKUP($A14,Servings!$C:$K,3,FALSE)</f>
        <v>oz</v>
      </c>
      <c r="AB14" s="2">
        <f>VLOOKUP($A14,Servings!$C:$K,4,FALSE)</f>
        <v>24</v>
      </c>
      <c r="AC14" s="2" t="str">
        <f>VLOOKUP($A14,Servings!$C:$K,5,FALSE)</f>
        <v>nuts</v>
      </c>
      <c r="AD14" s="14">
        <f>VLOOKUP($A14,Servings!$C:$K,6,FALSE)</f>
        <v>160</v>
      </c>
      <c r="AE14" s="2">
        <f>VLOOKUP($A14,Servings!$C:$K,7,FALSE)</f>
        <v>14</v>
      </c>
      <c r="AF14" s="2">
        <f>VLOOKUP($A14,Servings!$C:$K,8,FALSE)</f>
        <v>6</v>
      </c>
      <c r="AG14" s="2">
        <f>VLOOKUP($A14,Servings!$C:$K,9,FALSE)</f>
        <v>6</v>
      </c>
      <c r="AH14">
        <f>VLOOKUP($A14,Servings!$C:$Y,10,FALSE)</f>
        <v>0</v>
      </c>
      <c r="AI14">
        <f>VLOOKUP($A14,Servings!$C:$Y,11,FALSE)</f>
        <v>70</v>
      </c>
      <c r="AJ14">
        <f>VLOOKUP($A14,Servings!$C:$Y,12,FALSE)</f>
        <v>3</v>
      </c>
      <c r="AK14">
        <f>VLOOKUP($A14,Servings!$C:$Y,13,FALSE)</f>
        <v>1.1000000000000001</v>
      </c>
      <c r="AL14">
        <f>VLOOKUP($A14,Servings!$C:$Y,14,FALSE)</f>
        <v>9</v>
      </c>
      <c r="AM14">
        <f>VLOOKUP($A14,Servings!$C:$Y,15,FALSE)</f>
        <v>3.5</v>
      </c>
      <c r="AN14">
        <f>VLOOKUP($A14,Servings!$C:$Y,16,FALSE)</f>
        <v>200</v>
      </c>
      <c r="AO14">
        <f>VLOOKUP($A14,Servings!$C:$Y,17,FALSE)</f>
        <v>1</v>
      </c>
      <c r="AP14">
        <f>VLOOKUP($A14,Servings!$C:$Y,18,FALSE)</f>
        <v>0</v>
      </c>
      <c r="AQ14">
        <f>VLOOKUP($A14,Servings!$C:$Y,19,FALSE)</f>
        <v>1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0</v>
      </c>
    </row>
    <row r="15" spans="1:47" ht="15" customHeight="1" x14ac:dyDescent="0.25">
      <c r="A15" s="2" t="s">
        <v>35</v>
      </c>
      <c r="B15" s="2">
        <v>100</v>
      </c>
      <c r="C15" s="2" t="str">
        <f>IF(IFERROR(VLOOKUP(A15, Servings!C:G, 3, FALSE), "")=0, "", IFERROR(VLOOKUP(A15, Servings!C:G, 3, FALSE), ""))</f>
        <v>g</v>
      </c>
      <c r="D15" s="2" t="str">
        <f>IF(IFERROR(VLOOKUP(A15, Servings!C:G, 5, FALSE), "")=0, "", IFERROR(VLOOKUP(A15, Servings!C:G, 5, FALSE), ""))</f>
        <v/>
      </c>
      <c r="E15" s="2" t="s">
        <v>28</v>
      </c>
      <c r="F15" s="5" t="s">
        <v>86</v>
      </c>
      <c r="G15" s="3">
        <f>B15/Z15</f>
        <v>0.55555555555555558</v>
      </c>
      <c r="H15" s="4">
        <f t="shared" si="0"/>
        <v>118.51851851851852</v>
      </c>
      <c r="I15" s="4">
        <f t="shared" si="1"/>
        <v>0</v>
      </c>
      <c r="J15" s="4">
        <f t="shared" si="2"/>
        <v>26.666666666666668</v>
      </c>
      <c r="K15" s="4">
        <f t="shared" si="3"/>
        <v>2.2222222222222223</v>
      </c>
      <c r="L15" s="4">
        <f t="shared" si="5"/>
        <v>0</v>
      </c>
      <c r="M15" s="4">
        <f t="shared" si="6"/>
        <v>1.4814814814814814</v>
      </c>
      <c r="N15" s="4">
        <f t="shared" si="7"/>
        <v>0</v>
      </c>
      <c r="O15" s="4">
        <f t="shared" si="8"/>
        <v>0</v>
      </c>
      <c r="P15" s="4">
        <f t="shared" si="9"/>
        <v>0</v>
      </c>
      <c r="Q15" s="4">
        <f t="shared" si="10"/>
        <v>0</v>
      </c>
      <c r="R15" s="4">
        <f t="shared" si="11"/>
        <v>0</v>
      </c>
      <c r="S15" s="4">
        <f t="shared" si="12"/>
        <v>0</v>
      </c>
      <c r="T15" s="4">
        <f t="shared" si="13"/>
        <v>0</v>
      </c>
      <c r="U15" s="4">
        <f t="shared" si="14"/>
        <v>0</v>
      </c>
      <c r="V15" s="4">
        <f t="shared" si="15"/>
        <v>0</v>
      </c>
      <c r="W15" s="4">
        <f t="shared" si="16"/>
        <v>0</v>
      </c>
      <c r="X15" s="4">
        <f t="shared" si="17"/>
        <v>0</v>
      </c>
      <c r="Y15" s="4">
        <f t="shared" si="18"/>
        <v>0</v>
      </c>
      <c r="Z15" s="2">
        <f>VLOOKUP($A15,Servings!$C:$K,2,FALSE)</f>
        <v>180</v>
      </c>
      <c r="AA15" s="2" t="str">
        <f>VLOOKUP($A15,Servings!$C:$K,3,FALSE)</f>
        <v>g</v>
      </c>
      <c r="AB15" s="2">
        <f>VLOOKUP($A15,Servings!$C:$K,4,FALSE)</f>
        <v>0</v>
      </c>
      <c r="AC15" s="2">
        <f>VLOOKUP($A15,Servings!$C:$K,5,FALSE)</f>
        <v>0</v>
      </c>
      <c r="AD15" s="14">
        <f>VLOOKUP($A15,Servings!$C:$K,6,FALSE)</f>
        <v>213.33333333333331</v>
      </c>
      <c r="AE15" s="2">
        <f>VLOOKUP($A15,Servings!$C:$K,7,FALSE)</f>
        <v>0</v>
      </c>
      <c r="AF15" s="2">
        <f>VLOOKUP($A15,Servings!$C:$K,8,FALSE)</f>
        <v>48</v>
      </c>
      <c r="AG15" s="2">
        <f>VLOOKUP($A15,Servings!$C:$K,9,FALSE)</f>
        <v>4</v>
      </c>
      <c r="AH15">
        <f>VLOOKUP($A15,Servings!$C:$Y,10,FALSE)</f>
        <v>0</v>
      </c>
      <c r="AI15">
        <f>VLOOKUP($A15,Servings!$C:$Y,11,FALSE)</f>
        <v>2.6666666666666665</v>
      </c>
      <c r="AJ15">
        <f>VLOOKUP($A15,Servings!$C:$Y,12,FALSE)</f>
        <v>0</v>
      </c>
      <c r="AK15">
        <f>VLOOKUP($A15,Servings!$C:$Y,13,FALSE)</f>
        <v>0</v>
      </c>
      <c r="AL15">
        <f>VLOOKUP($A15,Servings!$C:$Y,14,FALSE)</f>
        <v>0</v>
      </c>
      <c r="AM15">
        <f>VLOOKUP($A15,Servings!$C:$Y,15,FALSE)</f>
        <v>0</v>
      </c>
      <c r="AN15">
        <f>VLOOKUP($A15,Servings!$C:$Y,16,FALSE)</f>
        <v>0</v>
      </c>
      <c r="AO15">
        <f>VLOOKUP($A15,Servings!$C:$Y,17,FALSE)</f>
        <v>0</v>
      </c>
      <c r="AP15">
        <f>VLOOKUP($A15,Servings!$C:$Y,18,FALSE)</f>
        <v>0</v>
      </c>
      <c r="AQ15">
        <f>VLOOKUP($A15,Servings!$C:$Y,19,FALSE)</f>
        <v>0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0</v>
      </c>
    </row>
    <row r="16" spans="1:47" ht="15" customHeight="1" x14ac:dyDescent="0.25">
      <c r="A16" s="2" t="s">
        <v>142</v>
      </c>
      <c r="B16" s="2">
        <v>320</v>
      </c>
      <c r="C16" s="2" t="str">
        <f>IF(IFERROR(VLOOKUP(A16, Servings!C:G, 3, FALSE), "")=0, "", IFERROR(VLOOKUP(A16, Servings!C:G, 3, FALSE), ""))</f>
        <v>g</v>
      </c>
      <c r="D16" s="2" t="str">
        <f>IF(IFERROR(VLOOKUP(A16, Servings!C:G, 5, FALSE), "")=0, "", IFERROR(VLOOKUP(A16, Servings!C:G, 5, FALSE), ""))</f>
        <v/>
      </c>
      <c r="E16" s="2" t="s">
        <v>28</v>
      </c>
      <c r="F16" s="5" t="s">
        <v>86</v>
      </c>
      <c r="G16" s="3">
        <f>B16/Z16</f>
        <v>0.91428571428571426</v>
      </c>
      <c r="H16" s="4">
        <f t="shared" si="0"/>
        <v>457.14285714285711</v>
      </c>
      <c r="I16" s="4">
        <f t="shared" si="1"/>
        <v>11.885714285714286</v>
      </c>
      <c r="J16" s="4">
        <f t="shared" si="2"/>
        <v>28.342857142857142</v>
      </c>
      <c r="K16" s="4">
        <f t="shared" si="3"/>
        <v>57.6</v>
      </c>
      <c r="L16" s="4">
        <f t="shared" si="5"/>
        <v>0</v>
      </c>
      <c r="M16" s="4">
        <f t="shared" si="6"/>
        <v>0</v>
      </c>
      <c r="N16" s="4">
        <f t="shared" si="7"/>
        <v>0</v>
      </c>
      <c r="O16" s="4">
        <f t="shared" si="8"/>
        <v>0</v>
      </c>
      <c r="P16" s="4">
        <f t="shared" si="9"/>
        <v>0</v>
      </c>
      <c r="Q16" s="4">
        <f t="shared" si="10"/>
        <v>0</v>
      </c>
      <c r="R16" s="4">
        <f t="shared" si="11"/>
        <v>0</v>
      </c>
      <c r="S16" s="4">
        <f t="shared" si="12"/>
        <v>0</v>
      </c>
      <c r="T16" s="4">
        <f t="shared" si="13"/>
        <v>0</v>
      </c>
      <c r="U16" s="4">
        <f t="shared" si="14"/>
        <v>0</v>
      </c>
      <c r="V16" s="4">
        <f t="shared" si="15"/>
        <v>0</v>
      </c>
      <c r="W16" s="4">
        <f t="shared" si="16"/>
        <v>0</v>
      </c>
      <c r="X16" s="4">
        <f t="shared" si="17"/>
        <v>0</v>
      </c>
      <c r="Y16" s="4">
        <f t="shared" si="18"/>
        <v>0</v>
      </c>
      <c r="Z16" s="2">
        <f>VLOOKUP($A16,Servings!$C:$K,2,FALSE)</f>
        <v>350</v>
      </c>
      <c r="AA16" s="2" t="str">
        <f>VLOOKUP($A16,Servings!$C:$K,3,FALSE)</f>
        <v>g</v>
      </c>
      <c r="AB16" s="2">
        <f>VLOOKUP($A16,Servings!$C:$K,4,FALSE)</f>
        <v>0</v>
      </c>
      <c r="AC16" s="2">
        <f>VLOOKUP($A16,Servings!$C:$K,5,FALSE)</f>
        <v>0</v>
      </c>
      <c r="AD16" s="14">
        <f>VLOOKUP($A16,Servings!$C:$K,6,FALSE)</f>
        <v>500</v>
      </c>
      <c r="AE16" s="2">
        <f>VLOOKUP($A16,Servings!$C:$K,7,FALSE)</f>
        <v>13</v>
      </c>
      <c r="AF16" s="2">
        <f>VLOOKUP($A16,Servings!$C:$K,8,FALSE)</f>
        <v>31</v>
      </c>
      <c r="AG16" s="2">
        <f>VLOOKUP($A16,Servings!$C:$K,9,FALSE)</f>
        <v>63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</v>
      </c>
      <c r="AM16">
        <f>VLOOKUP($A16,Servings!$C:$Y,15,FALSE)</f>
        <v>0</v>
      </c>
      <c r="AN16">
        <f>VLOOKUP($A16,Servings!$C:$Y,16,FALSE)</f>
        <v>0</v>
      </c>
      <c r="AO16">
        <f>VLOOKUP($A16,Servings!$C:$Y,17,FALSE)</f>
        <v>0</v>
      </c>
      <c r="AP16">
        <f>VLOOKUP($A16,Servings!$C:$Y,18,FALSE)</f>
        <v>0</v>
      </c>
      <c r="AQ16">
        <f>VLOOKUP($A16,Servings!$C:$Y,19,FALSE)</f>
        <v>0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ht="15" customHeight="1" x14ac:dyDescent="0.25">
      <c r="A17" s="2" t="s">
        <v>27</v>
      </c>
      <c r="B17" s="2">
        <v>1</v>
      </c>
      <c r="C17" s="2" t="str">
        <f>IF(IFERROR(VLOOKUP(A17, Servings!C:G, 3, FALSE), "")=0, "", IFERROR(VLOOKUP(A17, Servings!C:G, 3, FALSE), ""))</f>
        <v>g</v>
      </c>
      <c r="D17" s="2" t="str">
        <f>IF(IFERROR(VLOOKUP(A17, Servings!C:G, 5, FALSE), "")=0, "", IFERROR(VLOOKUP(A17, Servings!C:G, 5, FALSE), ""))</f>
        <v>package</v>
      </c>
      <c r="E17" s="2" t="s">
        <v>34</v>
      </c>
      <c r="F17" s="5" t="s">
        <v>144</v>
      </c>
      <c r="G17" s="3">
        <f>B17/AB17</f>
        <v>1</v>
      </c>
      <c r="H17" s="4">
        <f t="shared" si="0"/>
        <v>70</v>
      </c>
      <c r="I17" s="4">
        <f t="shared" si="1"/>
        <v>0</v>
      </c>
      <c r="J17" s="4">
        <f t="shared" si="2"/>
        <v>17</v>
      </c>
      <c r="K17" s="4">
        <f t="shared" si="3"/>
        <v>1</v>
      </c>
      <c r="L17" s="4">
        <f t="shared" si="5"/>
        <v>9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 t="shared" si="9"/>
        <v>0</v>
      </c>
      <c r="Q17" s="4">
        <f t="shared" si="10"/>
        <v>0</v>
      </c>
      <c r="R17" s="4">
        <f t="shared" si="11"/>
        <v>0</v>
      </c>
      <c r="S17" s="4">
        <f t="shared" si="12"/>
        <v>0</v>
      </c>
      <c r="T17" s="4">
        <f t="shared" si="13"/>
        <v>20</v>
      </c>
      <c r="U17" s="4">
        <f t="shared" si="14"/>
        <v>11</v>
      </c>
      <c r="V17" s="4">
        <f t="shared" si="15"/>
        <v>0</v>
      </c>
      <c r="W17" s="4">
        <f t="shared" si="16"/>
        <v>230</v>
      </c>
      <c r="X17" s="4">
        <f t="shared" si="17"/>
        <v>23</v>
      </c>
      <c r="Y17" s="4">
        <f t="shared" si="18"/>
        <v>0</v>
      </c>
      <c r="Z17" s="2">
        <f>VLOOKUP($A17,Servings!$C:$K,2,FALSE)</f>
        <v>22.7</v>
      </c>
      <c r="AA17" s="2" t="str">
        <f>VLOOKUP($A17,Servings!$C:$K,3,FALSE)</f>
        <v>g</v>
      </c>
      <c r="AB17" s="2">
        <f>VLOOKUP($A17,Servings!$C:$K,4,FALSE)</f>
        <v>1</v>
      </c>
      <c r="AC17" s="2" t="str">
        <f>VLOOKUP($A17,Servings!$C:$K,5,FALSE)</f>
        <v>package</v>
      </c>
      <c r="AD17" s="14">
        <f>VLOOKUP($A17,Servings!$C:$K,6,FALSE)</f>
        <v>70</v>
      </c>
      <c r="AE17" s="2">
        <f>VLOOKUP($A17,Servings!$C:$K,7,FALSE)</f>
        <v>0</v>
      </c>
      <c r="AF17" s="2">
        <f>VLOOKUP($A17,Servings!$C:$K,8,FALSE)</f>
        <v>17</v>
      </c>
      <c r="AG17" s="2">
        <f>VLOOKUP($A17,Servings!$C:$K,9,FALSE)</f>
        <v>1</v>
      </c>
      <c r="AH17">
        <f>VLOOKUP($A17,Servings!$C:$Y,10,FALSE)</f>
        <v>9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0</v>
      </c>
      <c r="AO17">
        <f>VLOOKUP($A17,Servings!$C:$Y,17,FALSE)</f>
        <v>0</v>
      </c>
      <c r="AP17">
        <f>VLOOKUP($A17,Servings!$C:$Y,18,FALSE)</f>
        <v>20</v>
      </c>
      <c r="AQ17">
        <f>VLOOKUP($A17,Servings!$C:$Y,19,FALSE)</f>
        <v>11</v>
      </c>
      <c r="AR17">
        <f>VLOOKUP($A17,Servings!$C:$Y,20,FALSE)</f>
        <v>0</v>
      </c>
      <c r="AS17">
        <f>VLOOKUP($A17,Servings!$C:$Y,21,FALSE)</f>
        <v>230</v>
      </c>
      <c r="AT17">
        <f>VLOOKUP($A17,Servings!$C:$Y,22,FALSE)</f>
        <v>23</v>
      </c>
      <c r="AU17">
        <f>VLOOKUP($A17,Servings!$C:$Y,23,FALSE)</f>
        <v>0</v>
      </c>
    </row>
    <row r="18" spans="1:47" ht="15" customHeight="1" x14ac:dyDescent="0.25">
      <c r="A18" s="2" t="s">
        <v>35</v>
      </c>
      <c r="B18" s="2">
        <v>28</v>
      </c>
      <c r="C18" s="2" t="str">
        <f>IF(IFERROR(VLOOKUP(A18, Servings!C:G, 3, FALSE), "")=0, "", IFERROR(VLOOKUP(A18, Servings!C:G, 3, FALSE), ""))</f>
        <v>g</v>
      </c>
      <c r="D18" s="2" t="str">
        <f>IF(IFERROR(VLOOKUP(A18, Servings!C:G, 5, FALSE), "")=0, "", IFERROR(VLOOKUP(A18, Servings!C:G, 5, FALSE), ""))</f>
        <v/>
      </c>
      <c r="E18" s="2" t="s">
        <v>28</v>
      </c>
      <c r="F18" s="5" t="s">
        <v>144</v>
      </c>
      <c r="G18" s="3">
        <f>B18/Z18</f>
        <v>0.15555555555555556</v>
      </c>
      <c r="H18" s="4">
        <f t="shared" si="0"/>
        <v>33.185185185185183</v>
      </c>
      <c r="I18" s="4">
        <f t="shared" si="1"/>
        <v>0</v>
      </c>
      <c r="J18" s="4">
        <f t="shared" si="2"/>
        <v>7.4666666666666668</v>
      </c>
      <c r="K18" s="4">
        <f t="shared" si="3"/>
        <v>0.62222222222222223</v>
      </c>
      <c r="L18" s="4">
        <f t="shared" si="5"/>
        <v>0</v>
      </c>
      <c r="M18" s="4">
        <f t="shared" si="6"/>
        <v>0.4148148148148148</v>
      </c>
      <c r="N18" s="4">
        <f t="shared" si="7"/>
        <v>0</v>
      </c>
      <c r="O18" s="4">
        <f t="shared" si="8"/>
        <v>0</v>
      </c>
      <c r="P18" s="4">
        <f t="shared" si="9"/>
        <v>0</v>
      </c>
      <c r="Q18" s="4">
        <f t="shared" si="10"/>
        <v>0</v>
      </c>
      <c r="R18" s="4">
        <f t="shared" si="11"/>
        <v>0</v>
      </c>
      <c r="S18" s="4">
        <f t="shared" si="12"/>
        <v>0</v>
      </c>
      <c r="T18" s="4">
        <f t="shared" si="13"/>
        <v>0</v>
      </c>
      <c r="U18" s="4">
        <f t="shared" si="14"/>
        <v>0</v>
      </c>
      <c r="V18" s="4">
        <f t="shared" si="15"/>
        <v>0</v>
      </c>
      <c r="W18" s="4">
        <f t="shared" si="16"/>
        <v>0</v>
      </c>
      <c r="X18" s="4">
        <f t="shared" si="17"/>
        <v>0</v>
      </c>
      <c r="Y18" s="4">
        <f t="shared" si="18"/>
        <v>0</v>
      </c>
      <c r="Z18" s="2">
        <f>VLOOKUP($A18,Servings!$C:$K,2,FALSE)</f>
        <v>180</v>
      </c>
      <c r="AA18" s="2" t="str">
        <f>VLOOKUP($A18,Servings!$C:$K,3,FALSE)</f>
        <v>g</v>
      </c>
      <c r="AB18" s="2">
        <f>VLOOKUP($A18,Servings!$C:$K,4,FALSE)</f>
        <v>0</v>
      </c>
      <c r="AC18" s="2">
        <f>VLOOKUP($A18,Servings!$C:$K,5,FALSE)</f>
        <v>0</v>
      </c>
      <c r="AD18" s="14">
        <f>VLOOKUP($A18,Servings!$C:$K,6,FALSE)</f>
        <v>213.33333333333331</v>
      </c>
      <c r="AE18" s="2">
        <f>VLOOKUP($A18,Servings!$C:$K,7,FALSE)</f>
        <v>0</v>
      </c>
      <c r="AF18" s="2">
        <f>VLOOKUP($A18,Servings!$C:$K,8,FALSE)</f>
        <v>48</v>
      </c>
      <c r="AG18" s="2">
        <f>VLOOKUP($A18,Servings!$C:$K,9,FALSE)</f>
        <v>4</v>
      </c>
      <c r="AH18">
        <f>VLOOKUP($A18,Servings!$C:$Y,10,FALSE)</f>
        <v>0</v>
      </c>
      <c r="AI18">
        <f>VLOOKUP($A18,Servings!$C:$Y,11,FALSE)</f>
        <v>2.6666666666666665</v>
      </c>
      <c r="AJ18">
        <f>VLOOKUP($A18,Servings!$C:$Y,12,FALSE)</f>
        <v>0</v>
      </c>
      <c r="AK18">
        <f>VLOOKUP($A18,Servings!$C:$Y,13,FALSE)</f>
        <v>0</v>
      </c>
      <c r="AL18">
        <f>VLOOKUP($A18,Servings!$C:$Y,14,FALSE)</f>
        <v>0</v>
      </c>
      <c r="AM18">
        <f>VLOOKUP($A18,Servings!$C:$Y,15,FALSE)</f>
        <v>0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0</v>
      </c>
      <c r="AQ18">
        <f>VLOOKUP($A18,Servings!$C:$Y,19,FALSE)</f>
        <v>0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ht="15" customHeight="1" x14ac:dyDescent="0.25">
      <c r="A19" s="2" t="s">
        <v>38</v>
      </c>
      <c r="B19" s="2">
        <v>140</v>
      </c>
      <c r="C19" s="2" t="str">
        <f>IF(IFERROR(VLOOKUP(A19, Servings!C:G, 3, FALSE), "")=0, "", IFERROR(VLOOKUP(A19, Servings!C:G, 3, FALSE), ""))</f>
        <v>g</v>
      </c>
      <c r="D19" s="2" t="str">
        <f>IF(IFERROR(VLOOKUP(A19, Servings!C:G, 5, FALSE), "")=0, "", IFERROR(VLOOKUP(A19, Servings!C:G, 5, FALSE), ""))</f>
        <v>cup</v>
      </c>
      <c r="E19" s="2" t="s">
        <v>28</v>
      </c>
      <c r="F19" s="5" t="s">
        <v>144</v>
      </c>
      <c r="G19" s="3">
        <f>B19/Z19</f>
        <v>1</v>
      </c>
      <c r="H19" s="4">
        <f t="shared" si="0"/>
        <v>80</v>
      </c>
      <c r="I19" s="4">
        <f t="shared" si="1"/>
        <v>0</v>
      </c>
      <c r="J19" s="4">
        <f t="shared" si="2"/>
        <v>18</v>
      </c>
      <c r="K19" s="4">
        <f t="shared" si="3"/>
        <v>1</v>
      </c>
      <c r="L19" s="4">
        <f t="shared" si="5"/>
        <v>0</v>
      </c>
      <c r="M19" s="4">
        <f t="shared" si="6"/>
        <v>0</v>
      </c>
      <c r="N19" s="4">
        <f t="shared" si="7"/>
        <v>2</v>
      </c>
      <c r="O19" s="4">
        <f t="shared" si="8"/>
        <v>0.4</v>
      </c>
      <c r="P19" s="4">
        <f t="shared" si="9"/>
        <v>0</v>
      </c>
      <c r="Q19" s="4">
        <f t="shared" si="10"/>
        <v>0</v>
      </c>
      <c r="R19" s="4">
        <f t="shared" si="11"/>
        <v>150</v>
      </c>
      <c r="S19" s="4">
        <f t="shared" si="12"/>
        <v>0</v>
      </c>
      <c r="T19" s="4">
        <f t="shared" si="13"/>
        <v>0</v>
      </c>
      <c r="U19" s="4">
        <f t="shared" si="14"/>
        <v>14</v>
      </c>
      <c r="V19" s="4">
        <f t="shared" si="15"/>
        <v>0</v>
      </c>
      <c r="W19" s="4">
        <f t="shared" si="16"/>
        <v>0</v>
      </c>
      <c r="X19" s="4">
        <f t="shared" si="17"/>
        <v>0</v>
      </c>
      <c r="Y19" s="4">
        <f t="shared" si="18"/>
        <v>0</v>
      </c>
      <c r="Z19" s="2">
        <f>VLOOKUP($A19,Servings!$C:$K,2,FALSE)</f>
        <v>140</v>
      </c>
      <c r="AA19" s="2" t="str">
        <f>VLOOKUP($A19,Servings!$C:$K,3,FALSE)</f>
        <v>g</v>
      </c>
      <c r="AB19" s="2">
        <f>VLOOKUP($A19,Servings!$C:$K,4,FALSE)</f>
        <v>1</v>
      </c>
      <c r="AC19" s="2" t="str">
        <f>VLOOKUP($A19,Servings!$C:$K,5,FALSE)</f>
        <v>cup</v>
      </c>
      <c r="AD19" s="14">
        <f>VLOOKUP($A19,Servings!$C:$K,6,FALSE)</f>
        <v>80</v>
      </c>
      <c r="AE19" s="2">
        <f>VLOOKUP($A19,Servings!$C:$K,7,FALSE)</f>
        <v>0</v>
      </c>
      <c r="AF19" s="2">
        <f>VLOOKUP($A19,Servings!$C:$K,8,FALSE)</f>
        <v>18</v>
      </c>
      <c r="AG19" s="2">
        <f>VLOOKUP($A19,Servings!$C:$K,9,FALSE)</f>
        <v>1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2</v>
      </c>
      <c r="AK19">
        <f>VLOOKUP($A19,Servings!$C:$Y,13,FALSE)</f>
        <v>0.4</v>
      </c>
      <c r="AL19">
        <f>VLOOKUP($A19,Servings!$C:$Y,14,FALSE)</f>
        <v>0</v>
      </c>
      <c r="AM19">
        <f>VLOOKUP($A19,Servings!$C:$Y,15,FALSE)</f>
        <v>0</v>
      </c>
      <c r="AN19">
        <f>VLOOKUP($A19,Servings!$C:$Y,16,FALSE)</f>
        <v>150</v>
      </c>
      <c r="AO19">
        <f>VLOOKUP($A19,Servings!$C:$Y,17,FALSE)</f>
        <v>0</v>
      </c>
      <c r="AP19">
        <f>VLOOKUP($A19,Servings!$C:$Y,18,FALSE)</f>
        <v>0</v>
      </c>
      <c r="AQ19">
        <f>VLOOKUP($A19,Servings!$C:$Y,19,FALSE)</f>
        <v>14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ht="15" customHeight="1" x14ac:dyDescent="0.25">
      <c r="A20" s="2" t="s">
        <v>25</v>
      </c>
      <c r="B20" s="2">
        <v>334</v>
      </c>
      <c r="C20" s="2" t="str">
        <f>IF(IFERROR(VLOOKUP(A20, Servings!C:G, 3, FALSE), "")=0, "", IFERROR(VLOOKUP(A20, Servings!C:G, 3, FALSE), ""))</f>
        <v>g</v>
      </c>
      <c r="D20" s="2" t="str">
        <f>IF(IFERROR(VLOOKUP(A20, Servings!C:G, 5, FALSE), "")=0, "", IFERROR(VLOOKUP(A20, Servings!C:G, 5, FALSE), ""))</f>
        <v>scoops</v>
      </c>
      <c r="E20" s="2" t="s">
        <v>28</v>
      </c>
      <c r="F20" s="2"/>
      <c r="G20" s="3">
        <f>B20/Z20</f>
        <v>1</v>
      </c>
      <c r="H20" s="4">
        <f t="shared" si="0"/>
        <v>1280</v>
      </c>
      <c r="I20" s="4">
        <f t="shared" si="1"/>
        <v>10</v>
      </c>
      <c r="J20" s="4">
        <f t="shared" si="2"/>
        <v>252</v>
      </c>
      <c r="K20" s="4">
        <f t="shared" si="3"/>
        <v>52</v>
      </c>
      <c r="L20" s="4">
        <f t="shared" si="5"/>
        <v>0</v>
      </c>
      <c r="M20" s="4">
        <f t="shared" si="6"/>
        <v>0</v>
      </c>
      <c r="N20" s="4">
        <f t="shared" si="7"/>
        <v>0</v>
      </c>
      <c r="O20" s="4">
        <f t="shared" si="8"/>
        <v>0</v>
      </c>
      <c r="P20" s="4">
        <f t="shared" si="9"/>
        <v>0</v>
      </c>
      <c r="Q20" s="4">
        <f t="shared" si="10"/>
        <v>0</v>
      </c>
      <c r="R20" s="4">
        <f t="shared" si="11"/>
        <v>2210</v>
      </c>
      <c r="S20" s="4">
        <f t="shared" si="12"/>
        <v>3</v>
      </c>
      <c r="T20" s="4">
        <f t="shared" si="13"/>
        <v>510</v>
      </c>
      <c r="U20" s="4">
        <f t="shared" si="14"/>
        <v>19</v>
      </c>
      <c r="V20" s="4">
        <f t="shared" si="15"/>
        <v>0</v>
      </c>
      <c r="W20" s="4">
        <f t="shared" si="16"/>
        <v>0</v>
      </c>
      <c r="X20" s="4">
        <f t="shared" si="17"/>
        <v>0</v>
      </c>
      <c r="Y20" s="4">
        <f t="shared" si="18"/>
        <v>0</v>
      </c>
      <c r="Z20" s="2">
        <f>VLOOKUP($A20,Servings!$C:$K,2,FALSE)</f>
        <v>334</v>
      </c>
      <c r="AA20" s="2" t="str">
        <f>VLOOKUP($A20,Servings!$C:$K,3,FALSE)</f>
        <v>g</v>
      </c>
      <c r="AB20" s="2">
        <f>VLOOKUP($A20,Servings!$C:$K,4,FALSE)</f>
        <v>2</v>
      </c>
      <c r="AC20" s="2" t="str">
        <f>VLOOKUP($A20,Servings!$C:$K,5,FALSE)</f>
        <v>scoops</v>
      </c>
      <c r="AD20" s="14">
        <f>VLOOKUP($A20,Servings!$C:$K,6,FALSE)</f>
        <v>1280</v>
      </c>
      <c r="AE20" s="2">
        <f>VLOOKUP($A20,Servings!$C:$K,7,FALSE)</f>
        <v>10</v>
      </c>
      <c r="AF20" s="2">
        <f>VLOOKUP($A20,Servings!$C:$K,8,FALSE)</f>
        <v>252</v>
      </c>
      <c r="AG20" s="2">
        <f>VLOOKUP($A20,Servings!$C:$K,9,FALSE)</f>
        <v>52</v>
      </c>
      <c r="AH20">
        <f>VLOOKUP($A20,Servings!$C:$Y,10,FALSE)</f>
        <v>0</v>
      </c>
      <c r="AI20">
        <f>VLOOKUP($A20,Servings!$C:$Y,11,FALSE)</f>
        <v>0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2210</v>
      </c>
      <c r="AO20">
        <f>VLOOKUP($A20,Servings!$C:$Y,17,FALSE)</f>
        <v>3</v>
      </c>
      <c r="AP20">
        <f>VLOOKUP($A20,Servings!$C:$Y,18,FALSE)</f>
        <v>510</v>
      </c>
      <c r="AQ20">
        <f>VLOOKUP($A20,Servings!$C:$Y,19,FALSE)</f>
        <v>19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ht="15" customHeight="1" x14ac:dyDescent="0.25">
      <c r="A21" s="2" t="s">
        <v>41</v>
      </c>
      <c r="B21" s="2">
        <v>120</v>
      </c>
      <c r="C21" s="2" t="str">
        <f>IF(IFERROR(VLOOKUP(A21, Servings!C:G, 3, FALSE), "")=0, "", IFERROR(VLOOKUP(A21, Servings!C:G, 3, FALSE), ""))</f>
        <v>ml</v>
      </c>
      <c r="D21" s="2" t="str">
        <f>IF(IFERROR(VLOOKUP(A21, Servings!C:G, 5, FALSE), "")=0, "", IFERROR(VLOOKUP(A21, Servings!C:G, 5, FALSE), ""))</f>
        <v>cup</v>
      </c>
      <c r="E21" s="2" t="s">
        <v>42</v>
      </c>
      <c r="F21" s="5" t="s">
        <v>144</v>
      </c>
      <c r="G21" s="3">
        <f>B21/Z21</f>
        <v>0.5</v>
      </c>
      <c r="H21" s="4">
        <f t="shared" si="0"/>
        <v>45</v>
      </c>
      <c r="I21" s="4">
        <f t="shared" si="1"/>
        <v>0</v>
      </c>
      <c r="J21" s="4">
        <f t="shared" si="2"/>
        <v>6.5</v>
      </c>
      <c r="K21" s="4">
        <f t="shared" si="3"/>
        <v>4</v>
      </c>
      <c r="L21" s="4">
        <f t="shared" si="5"/>
        <v>0</v>
      </c>
      <c r="M21" s="4">
        <f t="shared" si="6"/>
        <v>155</v>
      </c>
      <c r="N21" s="4">
        <f t="shared" si="7"/>
        <v>0</v>
      </c>
      <c r="O21" s="4">
        <f t="shared" si="8"/>
        <v>0.05</v>
      </c>
      <c r="P21" s="4">
        <f t="shared" si="9"/>
        <v>0</v>
      </c>
      <c r="Q21" s="4">
        <f t="shared" si="10"/>
        <v>0</v>
      </c>
      <c r="R21" s="4">
        <f t="shared" si="11"/>
        <v>210</v>
      </c>
      <c r="S21" s="4">
        <f t="shared" si="12"/>
        <v>0</v>
      </c>
      <c r="T21" s="4">
        <f t="shared" si="13"/>
        <v>62.5</v>
      </c>
      <c r="U21" s="4">
        <f t="shared" si="14"/>
        <v>6</v>
      </c>
      <c r="V21" s="4">
        <f t="shared" si="15"/>
        <v>0</v>
      </c>
      <c r="W21" s="4">
        <f t="shared" si="16"/>
        <v>75</v>
      </c>
      <c r="X21" s="4">
        <f t="shared" si="17"/>
        <v>0</v>
      </c>
      <c r="Y21" s="4">
        <f t="shared" si="18"/>
        <v>1.5</v>
      </c>
      <c r="Z21" s="2">
        <f>VLOOKUP($A21,Servings!$C:$K,2,FALSE)</f>
        <v>240</v>
      </c>
      <c r="AA21" s="2" t="str">
        <f>VLOOKUP($A21,Servings!$C:$K,3,FALSE)</f>
        <v>ml</v>
      </c>
      <c r="AB21" s="2">
        <f>VLOOKUP($A21,Servings!$C:$K,4,FALSE)</f>
        <v>1</v>
      </c>
      <c r="AC21" s="2" t="str">
        <f>VLOOKUP($A21,Servings!$C:$K,5,FALSE)</f>
        <v>cup</v>
      </c>
      <c r="AD21" s="14">
        <f>VLOOKUP($A21,Servings!$C:$K,6,FALSE)</f>
        <v>90</v>
      </c>
      <c r="AE21" s="2">
        <f>VLOOKUP($A21,Servings!$C:$K,7,FALSE)</f>
        <v>0</v>
      </c>
      <c r="AF21" s="2">
        <f>VLOOKUP($A21,Servings!$C:$K,8,FALSE)</f>
        <v>13</v>
      </c>
      <c r="AG21" s="2">
        <f>VLOOKUP($A21,Servings!$C:$K,9,FALSE)</f>
        <v>8</v>
      </c>
      <c r="AH21">
        <f>VLOOKUP($A21,Servings!$C:$Y,10,FALSE)</f>
        <v>0</v>
      </c>
      <c r="AI21">
        <f>VLOOKUP($A21,Servings!$C:$Y,11,FALSE)</f>
        <v>310</v>
      </c>
      <c r="AJ21">
        <f>VLOOKUP($A21,Servings!$C:$Y,12,FALSE)</f>
        <v>0</v>
      </c>
      <c r="AK21">
        <f>VLOOKUP($A21,Servings!$C:$Y,13,FALSE)</f>
        <v>0.1</v>
      </c>
      <c r="AL21">
        <f>VLOOKUP($A21,Servings!$C:$Y,14,FALSE)</f>
        <v>0</v>
      </c>
      <c r="AM21">
        <f>VLOOKUP($A21,Servings!$C:$Y,15,FALSE)</f>
        <v>0</v>
      </c>
      <c r="AN21">
        <f>VLOOKUP($A21,Servings!$C:$Y,16,FALSE)</f>
        <v>420</v>
      </c>
      <c r="AO21">
        <f>VLOOKUP($A21,Servings!$C:$Y,17,FALSE)</f>
        <v>0</v>
      </c>
      <c r="AP21">
        <f>VLOOKUP($A21,Servings!$C:$Y,18,FALSE)</f>
        <v>125</v>
      </c>
      <c r="AQ21">
        <f>VLOOKUP($A21,Servings!$C:$Y,19,FALSE)</f>
        <v>12</v>
      </c>
      <c r="AR21">
        <f>VLOOKUP($A21,Servings!$C:$Y,20,FALSE)</f>
        <v>0</v>
      </c>
      <c r="AS21">
        <f>VLOOKUP($A21,Servings!$C:$Y,21,FALSE)</f>
        <v>150</v>
      </c>
      <c r="AT21">
        <f>VLOOKUP($A21,Servings!$C:$Y,22,FALSE)</f>
        <v>0</v>
      </c>
      <c r="AU21">
        <f>VLOOKUP($A21,Servings!$C:$Y,23,FALSE)</f>
        <v>3</v>
      </c>
    </row>
    <row r="22" spans="1:47" ht="15" customHeight="1" x14ac:dyDescent="0.25">
      <c r="A22" s="2" t="s">
        <v>46</v>
      </c>
      <c r="B22" s="2">
        <v>1</v>
      </c>
      <c r="C22" s="2" t="str">
        <f>IF(IFERROR(VLOOKUP(A22, Servings!C:G, 3, FALSE), "")=0, "", IFERROR(VLOOKUP(A22, Servings!C:G, 3, FALSE), ""))</f>
        <v>g</v>
      </c>
      <c r="D22" s="2" t="str">
        <f>IF(IFERROR(VLOOKUP(A22, Servings!C:G, 5, FALSE), "")=0, "", IFERROR(VLOOKUP(A22, Servings!C:G, 5, FALSE), ""))</f>
        <v>stick</v>
      </c>
      <c r="E22" s="2" t="s">
        <v>47</v>
      </c>
      <c r="F22" s="5" t="s">
        <v>87</v>
      </c>
      <c r="G22" s="3">
        <f>B22/AB22</f>
        <v>1</v>
      </c>
      <c r="H22" s="4">
        <f t="shared" si="0"/>
        <v>80</v>
      </c>
      <c r="I22" s="4">
        <f t="shared" si="1"/>
        <v>6</v>
      </c>
      <c r="J22" s="4">
        <f t="shared" si="2"/>
        <v>0</v>
      </c>
      <c r="K22" s="4">
        <f t="shared" si="3"/>
        <v>7</v>
      </c>
      <c r="L22" s="4">
        <f t="shared" si="5"/>
        <v>0</v>
      </c>
      <c r="M22" s="4">
        <f t="shared" si="6"/>
        <v>0</v>
      </c>
      <c r="N22" s="4">
        <f t="shared" si="7"/>
        <v>0</v>
      </c>
      <c r="O22" s="4">
        <f t="shared" si="8"/>
        <v>0</v>
      </c>
      <c r="P22" s="4">
        <f t="shared" si="9"/>
        <v>1.5</v>
      </c>
      <c r="Q22" s="4">
        <f t="shared" si="10"/>
        <v>0</v>
      </c>
      <c r="R22" s="4">
        <f t="shared" si="11"/>
        <v>35</v>
      </c>
      <c r="S22" s="4">
        <f t="shared" si="12"/>
        <v>3</v>
      </c>
      <c r="T22" s="4">
        <f t="shared" si="13"/>
        <v>190</v>
      </c>
      <c r="U22" s="4">
        <f t="shared" si="14"/>
        <v>0</v>
      </c>
      <c r="V22" s="4">
        <f t="shared" si="15"/>
        <v>0</v>
      </c>
      <c r="W22" s="4">
        <f t="shared" si="16"/>
        <v>0</v>
      </c>
      <c r="X22" s="4">
        <f t="shared" si="17"/>
        <v>0</v>
      </c>
      <c r="Y22" s="4">
        <f t="shared" si="18"/>
        <v>0</v>
      </c>
      <c r="Z22" s="2">
        <f>VLOOKUP($A22,Servings!$C:$K,2,FALSE)</f>
        <v>28</v>
      </c>
      <c r="AA22" s="2" t="str">
        <f>VLOOKUP($A22,Servings!$C:$K,3,FALSE)</f>
        <v>g</v>
      </c>
      <c r="AB22" s="2">
        <f>VLOOKUP($A22,Servings!$C:$K,4,FALSE)</f>
        <v>1</v>
      </c>
      <c r="AC22" s="2" t="str">
        <f>VLOOKUP($A22,Servings!$C:$K,5,FALSE)</f>
        <v>stick</v>
      </c>
      <c r="AD22" s="14">
        <f>VLOOKUP($A22,Servings!$C:$K,6,FALSE)</f>
        <v>80</v>
      </c>
      <c r="AE22" s="2">
        <f>VLOOKUP($A22,Servings!$C:$K,7,FALSE)</f>
        <v>6</v>
      </c>
      <c r="AF22" s="2">
        <f>VLOOKUP($A22,Servings!$C:$K,8,FALSE)</f>
        <v>0</v>
      </c>
      <c r="AG22" s="2">
        <f>VLOOKUP($A22,Servings!$C:$K,9,FALSE)</f>
        <v>7</v>
      </c>
      <c r="AH22">
        <f>VLOOKUP($A22,Servings!$C:$Y,10,FALSE)</f>
        <v>0</v>
      </c>
      <c r="AI22">
        <f>VLOOKUP($A22,Servings!$C:$Y,11,FALSE)</f>
        <v>0</v>
      </c>
      <c r="AJ22">
        <f>VLOOKUP($A22,Servings!$C:$Y,12,FALSE)</f>
        <v>0</v>
      </c>
      <c r="AK22">
        <f>VLOOKUP($A22,Servings!$C:$Y,13,FALSE)</f>
        <v>0</v>
      </c>
      <c r="AL22">
        <f>VLOOKUP($A22,Servings!$C:$Y,14,FALSE)</f>
        <v>1.5</v>
      </c>
      <c r="AM22">
        <f>VLOOKUP($A22,Servings!$C:$Y,15,FALSE)</f>
        <v>0</v>
      </c>
      <c r="AN22">
        <f>VLOOKUP($A22,Servings!$C:$Y,16,FALSE)</f>
        <v>35</v>
      </c>
      <c r="AO22">
        <f>VLOOKUP($A22,Servings!$C:$Y,17,FALSE)</f>
        <v>3</v>
      </c>
      <c r="AP22">
        <f>VLOOKUP($A22,Servings!$C:$Y,18,FALSE)</f>
        <v>190</v>
      </c>
      <c r="AQ22">
        <f>VLOOKUP($A22,Servings!$C:$Y,19,FALSE)</f>
        <v>0</v>
      </c>
      <c r="AR22">
        <f>VLOOKUP($A22,Servings!$C:$Y,20,FALSE)</f>
        <v>0</v>
      </c>
      <c r="AS22">
        <f>VLOOKUP($A22,Servings!$C:$Y,21,FALSE)</f>
        <v>0</v>
      </c>
      <c r="AT22">
        <f>VLOOKUP($A22,Servings!$C:$Y,22,FALSE)</f>
        <v>0</v>
      </c>
      <c r="AU22">
        <f>VLOOKUP($A22,Servings!$C:$Y,23,FALSE)</f>
        <v>0</v>
      </c>
    </row>
    <row r="23" spans="1:47" ht="15" customHeight="1" x14ac:dyDescent="0.25">
      <c r="A23" s="2" t="s">
        <v>50</v>
      </c>
      <c r="B23" s="2">
        <v>1</v>
      </c>
      <c r="C23" s="2" t="str">
        <f>IF(IFERROR(VLOOKUP(A23, Servings!C:G, 3, FALSE), "")=0, "", IFERROR(VLOOKUP(A23, Servings!C:G, 3, FALSE), ""))</f>
        <v>ml</v>
      </c>
      <c r="D23" s="2" t="str">
        <f>IF(IFERROR(VLOOKUP(A23, Servings!C:G, 5, FALSE), "")=0, "", IFERROR(VLOOKUP(A23, Servings!C:G, 5, FALSE), ""))</f>
        <v>tbsp</v>
      </c>
      <c r="E23" s="2" t="s">
        <v>51</v>
      </c>
      <c r="F23" s="5" t="s">
        <v>87</v>
      </c>
      <c r="G23" s="3">
        <f>B23/AB23</f>
        <v>1</v>
      </c>
      <c r="H23" s="4">
        <f t="shared" si="0"/>
        <v>120</v>
      </c>
      <c r="I23" s="4">
        <f t="shared" si="1"/>
        <v>14</v>
      </c>
      <c r="J23" s="4">
        <f t="shared" si="2"/>
        <v>0</v>
      </c>
      <c r="K23" s="4">
        <f t="shared" si="3"/>
        <v>0</v>
      </c>
      <c r="L23" s="4">
        <f t="shared" si="5"/>
        <v>0</v>
      </c>
      <c r="M23" s="4">
        <f t="shared" si="6"/>
        <v>0</v>
      </c>
      <c r="N23" s="4">
        <f t="shared" si="7"/>
        <v>0</v>
      </c>
      <c r="O23" s="4">
        <f t="shared" si="8"/>
        <v>0</v>
      </c>
      <c r="P23" s="4">
        <f t="shared" si="9"/>
        <v>10</v>
      </c>
      <c r="Q23" s="4">
        <f t="shared" si="10"/>
        <v>2</v>
      </c>
      <c r="R23" s="4">
        <f t="shared" si="11"/>
        <v>0</v>
      </c>
      <c r="S23" s="4">
        <f t="shared" si="12"/>
        <v>2</v>
      </c>
      <c r="T23" s="4">
        <f t="shared" si="13"/>
        <v>0</v>
      </c>
      <c r="U23" s="4">
        <f t="shared" si="14"/>
        <v>0</v>
      </c>
      <c r="V23" s="4">
        <f t="shared" si="15"/>
        <v>0</v>
      </c>
      <c r="W23" s="4">
        <f t="shared" si="16"/>
        <v>0</v>
      </c>
      <c r="X23" s="4">
        <f t="shared" si="17"/>
        <v>0</v>
      </c>
      <c r="Y23" s="4">
        <f t="shared" si="18"/>
        <v>0</v>
      </c>
      <c r="Z23" s="2">
        <f>VLOOKUP($A23,Servings!$C:$K,2,FALSE)</f>
        <v>15</v>
      </c>
      <c r="AA23" s="2" t="str">
        <f>VLOOKUP($A23,Servings!$C:$K,3,FALSE)</f>
        <v>ml</v>
      </c>
      <c r="AB23" s="2">
        <f>VLOOKUP($A23,Servings!$C:$K,4,FALSE)</f>
        <v>1</v>
      </c>
      <c r="AC23" s="2" t="str">
        <f>VLOOKUP($A23,Servings!$C:$K,5,FALSE)</f>
        <v>tbsp</v>
      </c>
      <c r="AD23" s="14">
        <f>VLOOKUP($A23,Servings!$C:$K,6,FALSE)</f>
        <v>120</v>
      </c>
      <c r="AE23" s="2">
        <f>VLOOKUP($A23,Servings!$C:$K,7,FALSE)</f>
        <v>14</v>
      </c>
      <c r="AF23" s="2">
        <f>VLOOKUP($A23,Servings!$C:$K,8,FALSE)</f>
        <v>0</v>
      </c>
      <c r="AG23" s="2">
        <f>VLOOKUP($A23,Servings!$C:$K,9,FALSE)</f>
        <v>0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10</v>
      </c>
      <c r="AM23">
        <f>VLOOKUP($A23,Servings!$C:$Y,15,FALSE)</f>
        <v>2</v>
      </c>
      <c r="AN23">
        <f>VLOOKUP($A23,Servings!$C:$Y,16,FALSE)</f>
        <v>0</v>
      </c>
      <c r="AO23">
        <f>VLOOKUP($A23,Servings!$C:$Y,17,FALSE)</f>
        <v>2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ht="15" customHeight="1" x14ac:dyDescent="0.25">
      <c r="A24" s="2" t="s">
        <v>24</v>
      </c>
      <c r="B24" s="2">
        <v>10</v>
      </c>
      <c r="C24" s="2" t="str">
        <f>IF(IFERROR(VLOOKUP(A24, Servings!C:G, 3, FALSE), "")=0, "", IFERROR(VLOOKUP(A24, Servings!C:G, 3, FALSE), ""))</f>
        <v>oz</v>
      </c>
      <c r="D24" s="2" t="str">
        <f>IF(IFERROR(VLOOKUP(A24, Servings!C:G, 5, FALSE), "")=0, "", IFERROR(VLOOKUP(A24, Servings!C:G, 5, FALSE), ""))</f>
        <v>nuts</v>
      </c>
      <c r="E24" s="2" t="s">
        <v>31</v>
      </c>
      <c r="F24" s="5" t="s">
        <v>87</v>
      </c>
      <c r="G24" s="3">
        <f>B24/AB24</f>
        <v>0.41666666666666669</v>
      </c>
      <c r="H24" s="4">
        <f t="shared" si="0"/>
        <v>66.666666666666671</v>
      </c>
      <c r="I24" s="4">
        <f t="shared" si="1"/>
        <v>5.8333333333333339</v>
      </c>
      <c r="J24" s="4">
        <f t="shared" si="2"/>
        <v>2.5</v>
      </c>
      <c r="K24" s="4">
        <f t="shared" si="3"/>
        <v>2.5</v>
      </c>
      <c r="L24" s="4">
        <f t="shared" si="5"/>
        <v>0</v>
      </c>
      <c r="M24" s="4">
        <f t="shared" si="6"/>
        <v>29.166666666666668</v>
      </c>
      <c r="N24" s="4">
        <f t="shared" si="7"/>
        <v>1.25</v>
      </c>
      <c r="O24" s="4">
        <f t="shared" si="8"/>
        <v>0.45833333333333337</v>
      </c>
      <c r="P24" s="4">
        <f t="shared" si="9"/>
        <v>3.75</v>
      </c>
      <c r="Q24" s="4">
        <f t="shared" si="10"/>
        <v>1.4583333333333335</v>
      </c>
      <c r="R24" s="4">
        <f t="shared" si="11"/>
        <v>83.333333333333343</v>
      </c>
      <c r="S24" s="4">
        <f t="shared" si="12"/>
        <v>0.41666666666666669</v>
      </c>
      <c r="T24" s="4">
        <f t="shared" si="13"/>
        <v>0</v>
      </c>
      <c r="U24" s="4">
        <f t="shared" si="14"/>
        <v>0.41666666666666669</v>
      </c>
      <c r="V24" s="4">
        <f t="shared" si="15"/>
        <v>0</v>
      </c>
      <c r="W24" s="4">
        <f t="shared" si="16"/>
        <v>0</v>
      </c>
      <c r="X24" s="4">
        <f t="shared" si="17"/>
        <v>0</v>
      </c>
      <c r="Y24" s="4">
        <f t="shared" si="18"/>
        <v>0</v>
      </c>
      <c r="Z24" s="2">
        <f>VLOOKUP($A24,Servings!$C:$K,2,FALSE)</f>
        <v>28.34</v>
      </c>
      <c r="AA24" s="2" t="str">
        <f>VLOOKUP($A24,Servings!$C:$K,3,FALSE)</f>
        <v>oz</v>
      </c>
      <c r="AB24" s="2">
        <f>VLOOKUP($A24,Servings!$C:$K,4,FALSE)</f>
        <v>24</v>
      </c>
      <c r="AC24" s="2" t="str">
        <f>VLOOKUP($A24,Servings!$C:$K,5,FALSE)</f>
        <v>nuts</v>
      </c>
      <c r="AD24" s="14">
        <f>VLOOKUP($A24,Servings!$C:$K,6,FALSE)</f>
        <v>160</v>
      </c>
      <c r="AE24" s="2">
        <f>VLOOKUP($A24,Servings!$C:$K,7,FALSE)</f>
        <v>14</v>
      </c>
      <c r="AF24" s="2">
        <f>VLOOKUP($A24,Servings!$C:$K,8,FALSE)</f>
        <v>6</v>
      </c>
      <c r="AG24" s="2">
        <f>VLOOKUP($A24,Servings!$C:$K,9,FALSE)</f>
        <v>6</v>
      </c>
      <c r="AH24">
        <f>VLOOKUP($A24,Servings!$C:$Y,10,FALSE)</f>
        <v>0</v>
      </c>
      <c r="AI24">
        <f>VLOOKUP($A24,Servings!$C:$Y,11,FALSE)</f>
        <v>70</v>
      </c>
      <c r="AJ24">
        <f>VLOOKUP($A24,Servings!$C:$Y,12,FALSE)</f>
        <v>3</v>
      </c>
      <c r="AK24">
        <f>VLOOKUP($A24,Servings!$C:$Y,13,FALSE)</f>
        <v>1.1000000000000001</v>
      </c>
      <c r="AL24">
        <f>VLOOKUP($A24,Servings!$C:$Y,14,FALSE)</f>
        <v>9</v>
      </c>
      <c r="AM24">
        <f>VLOOKUP($A24,Servings!$C:$Y,15,FALSE)</f>
        <v>3.5</v>
      </c>
      <c r="AN24">
        <f>VLOOKUP($A24,Servings!$C:$Y,16,FALSE)</f>
        <v>200</v>
      </c>
      <c r="AO24">
        <f>VLOOKUP($A24,Servings!$C:$Y,17,FALSE)</f>
        <v>1</v>
      </c>
      <c r="AP24">
        <f>VLOOKUP($A24,Servings!$C:$Y,18,FALSE)</f>
        <v>0</v>
      </c>
      <c r="AQ24">
        <f>VLOOKUP($A24,Servings!$C:$Y,19,FALSE)</f>
        <v>1</v>
      </c>
      <c r="AR24">
        <f>VLOOKUP($A24,Servings!$C:$Y,20,FALSE)</f>
        <v>0</v>
      </c>
      <c r="AS24">
        <f>VLOOKUP($A24,Servings!$C:$Y,21,FALSE)</f>
        <v>0</v>
      </c>
      <c r="AT24">
        <f>VLOOKUP($A24,Servings!$C:$Y,22,FALSE)</f>
        <v>0</v>
      </c>
      <c r="AU24">
        <f>VLOOKUP($A24,Servings!$C:$Y,23,FALSE)</f>
        <v>0</v>
      </c>
    </row>
    <row r="25" spans="1:47" ht="15" customHeight="1" x14ac:dyDescent="0.25">
      <c r="A25" s="2" t="s">
        <v>64</v>
      </c>
      <c r="B25" s="2">
        <v>327</v>
      </c>
      <c r="C25" s="2" t="str">
        <f>IF(IFERROR(VLOOKUP(A25, Servings!C:G, 3, FALSE), "")=0, "", IFERROR(VLOOKUP(A25, Servings!C:G, 3, FALSE), ""))</f>
        <v>g</v>
      </c>
      <c r="D25" s="2" t="str">
        <f>IF(IFERROR(VLOOKUP(A25, Servings!C:G, 5, FALSE), "")=0, "", IFERROR(VLOOKUP(A25, Servings!C:G, 5, FALSE), ""))</f>
        <v>oz</v>
      </c>
      <c r="E25" s="2" t="s">
        <v>28</v>
      </c>
      <c r="F25" s="5" t="s">
        <v>87</v>
      </c>
      <c r="G25" s="3">
        <f>B25/Z25</f>
        <v>3.8928571428571428</v>
      </c>
      <c r="H25" s="4">
        <f t="shared" si="0"/>
        <v>194.64285714285714</v>
      </c>
      <c r="I25" s="4">
        <f t="shared" si="1"/>
        <v>0</v>
      </c>
      <c r="J25" s="4">
        <f t="shared" si="2"/>
        <v>0</v>
      </c>
      <c r="K25" s="4">
        <f t="shared" si="3"/>
        <v>46.714285714285715</v>
      </c>
      <c r="L25" s="4">
        <f t="shared" si="5"/>
        <v>0</v>
      </c>
      <c r="M25" s="4">
        <f t="shared" si="6"/>
        <v>506.07142857142856</v>
      </c>
      <c r="N25" s="4">
        <f t="shared" si="7"/>
        <v>0</v>
      </c>
      <c r="O25" s="4">
        <f t="shared" si="8"/>
        <v>1.9464285714285714</v>
      </c>
      <c r="P25" s="4">
        <f t="shared" si="9"/>
        <v>0</v>
      </c>
      <c r="Q25" s="4">
        <f t="shared" si="10"/>
        <v>0</v>
      </c>
      <c r="R25" s="4">
        <f t="shared" si="11"/>
        <v>175.17857142857142</v>
      </c>
      <c r="S25" s="4">
        <f t="shared" si="12"/>
        <v>0</v>
      </c>
      <c r="T25" s="4">
        <f t="shared" si="13"/>
        <v>2763.9285714285716</v>
      </c>
      <c r="U25" s="4">
        <f t="shared" si="14"/>
        <v>0</v>
      </c>
      <c r="V25" s="4">
        <f t="shared" si="15"/>
        <v>0</v>
      </c>
      <c r="W25" s="4">
        <f t="shared" si="16"/>
        <v>0</v>
      </c>
      <c r="X25" s="4">
        <f t="shared" si="17"/>
        <v>0</v>
      </c>
      <c r="Y25" s="4">
        <f t="shared" si="18"/>
        <v>0</v>
      </c>
      <c r="Z25" s="2">
        <f>VLOOKUP($A25,Servings!$C:$K,2,FALSE)</f>
        <v>84</v>
      </c>
      <c r="AA25" s="2" t="str">
        <f>VLOOKUP($A25,Servings!$C:$K,3,FALSE)</f>
        <v>g</v>
      </c>
      <c r="AB25" s="2">
        <f>VLOOKUP($A25,Servings!$C:$K,4,FALSE)</f>
        <v>3</v>
      </c>
      <c r="AC25" s="2" t="str">
        <f>VLOOKUP($A25,Servings!$C:$K,5,FALSE)</f>
        <v>oz</v>
      </c>
      <c r="AD25" s="14">
        <f>VLOOKUP($A25,Servings!$C:$K,6,FALSE)</f>
        <v>50</v>
      </c>
      <c r="AE25" s="2">
        <f>VLOOKUP($A25,Servings!$C:$K,7,FALSE)</f>
        <v>0</v>
      </c>
      <c r="AF25" s="2">
        <f>VLOOKUP($A25,Servings!$C:$K,8,FALSE)</f>
        <v>0</v>
      </c>
      <c r="AG25" s="2">
        <f>VLOOKUP($A25,Servings!$C:$K,9,FALSE)</f>
        <v>12</v>
      </c>
      <c r="AH25">
        <f>VLOOKUP($A25,Servings!$C:$Y,10,FALSE)</f>
        <v>0</v>
      </c>
      <c r="AI25">
        <f>VLOOKUP($A25,Servings!$C:$Y,11,FALSE)</f>
        <v>130</v>
      </c>
      <c r="AJ25">
        <f>VLOOKUP($A25,Servings!$C:$Y,12,FALSE)</f>
        <v>0</v>
      </c>
      <c r="AK25">
        <f>VLOOKUP($A25,Servings!$C:$Y,13,FALSE)</f>
        <v>0.5</v>
      </c>
      <c r="AL25">
        <f>VLOOKUP($A25,Servings!$C:$Y,14,FALSE)</f>
        <v>0</v>
      </c>
      <c r="AM25">
        <f>VLOOKUP($A25,Servings!$C:$Y,15,FALSE)</f>
        <v>0</v>
      </c>
      <c r="AN25">
        <f>VLOOKUP($A25,Servings!$C:$Y,16,FALSE)</f>
        <v>45</v>
      </c>
      <c r="AO25">
        <f>VLOOKUP($A25,Servings!$C:$Y,17,FALSE)</f>
        <v>0</v>
      </c>
      <c r="AP25">
        <f>VLOOKUP($A25,Servings!$C:$Y,18,FALSE)</f>
        <v>710</v>
      </c>
      <c r="AQ25">
        <f>VLOOKUP($A25,Servings!$C:$Y,19,FALSE)</f>
        <v>0</v>
      </c>
      <c r="AR25">
        <f>VLOOKUP($A25,Servings!$C:$Y,20,FALSE)</f>
        <v>0</v>
      </c>
      <c r="AS25">
        <f>VLOOKUP($A25,Servings!$C:$Y,21,FALSE)</f>
        <v>0</v>
      </c>
      <c r="AT25">
        <f>VLOOKUP($A25,Servings!$C:$Y,22,FALSE)</f>
        <v>0</v>
      </c>
      <c r="AU25">
        <f>VLOOKUP($A25,Servings!$C:$Y,23,FALSE)</f>
        <v>0</v>
      </c>
    </row>
    <row r="26" spans="1:47" ht="15" customHeight="1" x14ac:dyDescent="0.25">
      <c r="A26" s="2" t="s">
        <v>24</v>
      </c>
      <c r="B26" s="2">
        <v>14</v>
      </c>
      <c r="C26" s="2" t="str">
        <f>IF(IFERROR(VLOOKUP(A26, Servings!C:G, 3, FALSE), "")=0, "", IFERROR(VLOOKUP(A26, Servings!C:G, 3, FALSE), ""))</f>
        <v>oz</v>
      </c>
      <c r="D26" s="2" t="str">
        <f>IF(IFERROR(VLOOKUP(A26, Servings!C:G, 5, FALSE), "")=0, "", IFERROR(VLOOKUP(A26, Servings!C:G, 5, FALSE), ""))</f>
        <v>nuts</v>
      </c>
      <c r="E26" s="2" t="s">
        <v>31</v>
      </c>
      <c r="F26" s="5" t="s">
        <v>87</v>
      </c>
      <c r="G26" s="3">
        <f>B26/AB26</f>
        <v>0.58333333333333337</v>
      </c>
      <c r="H26" s="4">
        <f t="shared" si="0"/>
        <v>93.333333333333343</v>
      </c>
      <c r="I26" s="4">
        <f t="shared" si="1"/>
        <v>8.1666666666666679</v>
      </c>
      <c r="J26" s="4">
        <f t="shared" si="2"/>
        <v>3.5</v>
      </c>
      <c r="K26" s="4">
        <f t="shared" si="3"/>
        <v>3.5</v>
      </c>
      <c r="L26" s="4">
        <f t="shared" si="5"/>
        <v>0</v>
      </c>
      <c r="M26" s="4">
        <f t="shared" si="6"/>
        <v>40.833333333333336</v>
      </c>
      <c r="N26" s="4">
        <f t="shared" si="7"/>
        <v>1.75</v>
      </c>
      <c r="O26" s="4">
        <f t="shared" si="8"/>
        <v>0.64166666666666672</v>
      </c>
      <c r="P26" s="4">
        <f t="shared" si="9"/>
        <v>5.25</v>
      </c>
      <c r="Q26" s="4">
        <f t="shared" si="10"/>
        <v>2.041666666666667</v>
      </c>
      <c r="R26" s="4">
        <f t="shared" si="11"/>
        <v>116.66666666666667</v>
      </c>
      <c r="S26" s="4">
        <f t="shared" si="12"/>
        <v>0.58333333333333337</v>
      </c>
      <c r="T26" s="4">
        <f t="shared" si="13"/>
        <v>0</v>
      </c>
      <c r="U26" s="4">
        <f t="shared" si="14"/>
        <v>0.58333333333333337</v>
      </c>
      <c r="V26" s="4">
        <f t="shared" si="15"/>
        <v>0</v>
      </c>
      <c r="W26" s="4">
        <f t="shared" si="16"/>
        <v>0</v>
      </c>
      <c r="X26" s="4">
        <f t="shared" si="17"/>
        <v>0</v>
      </c>
      <c r="Y26" s="4">
        <f t="shared" si="18"/>
        <v>0</v>
      </c>
      <c r="Z26" s="2">
        <f>VLOOKUP($A26,Servings!$C:$K,2,FALSE)</f>
        <v>28.34</v>
      </c>
      <c r="AA26" s="2" t="str">
        <f>VLOOKUP($A26,Servings!$C:$K,3,FALSE)</f>
        <v>oz</v>
      </c>
      <c r="AB26" s="2">
        <f>VLOOKUP($A26,Servings!$C:$K,4,FALSE)</f>
        <v>24</v>
      </c>
      <c r="AC26" s="2" t="str">
        <f>VLOOKUP($A26,Servings!$C:$K,5,FALSE)</f>
        <v>nuts</v>
      </c>
      <c r="AD26" s="14">
        <f>VLOOKUP($A26,Servings!$C:$K,6,FALSE)</f>
        <v>160</v>
      </c>
      <c r="AE26" s="2">
        <f>VLOOKUP($A26,Servings!$C:$K,7,FALSE)</f>
        <v>14</v>
      </c>
      <c r="AF26" s="2">
        <f>VLOOKUP($A26,Servings!$C:$K,8,FALSE)</f>
        <v>6</v>
      </c>
      <c r="AG26" s="2">
        <f>VLOOKUP($A26,Servings!$C:$K,9,FALSE)</f>
        <v>6</v>
      </c>
      <c r="AH26">
        <f>VLOOKUP($A26,Servings!$C:$Y,10,FALSE)</f>
        <v>0</v>
      </c>
      <c r="AI26">
        <f>VLOOKUP($A26,Servings!$C:$Y,11,FALSE)</f>
        <v>70</v>
      </c>
      <c r="AJ26">
        <f>VLOOKUP($A26,Servings!$C:$Y,12,FALSE)</f>
        <v>3</v>
      </c>
      <c r="AK26">
        <f>VLOOKUP($A26,Servings!$C:$Y,13,FALSE)</f>
        <v>1.1000000000000001</v>
      </c>
      <c r="AL26">
        <f>VLOOKUP($A26,Servings!$C:$Y,14,FALSE)</f>
        <v>9</v>
      </c>
      <c r="AM26">
        <f>VLOOKUP($A26,Servings!$C:$Y,15,FALSE)</f>
        <v>3.5</v>
      </c>
      <c r="AN26">
        <f>VLOOKUP($A26,Servings!$C:$Y,16,FALSE)</f>
        <v>200</v>
      </c>
      <c r="AO26">
        <f>VLOOKUP($A26,Servings!$C:$Y,17,FALSE)</f>
        <v>1</v>
      </c>
      <c r="AP26">
        <f>VLOOKUP($A26,Servings!$C:$Y,18,FALSE)</f>
        <v>0</v>
      </c>
      <c r="AQ26">
        <f>VLOOKUP($A26,Servings!$C:$Y,19,FALSE)</f>
        <v>1</v>
      </c>
      <c r="AR26">
        <f>VLOOKUP($A26,Servings!$C:$Y,20,FALSE)</f>
        <v>0</v>
      </c>
      <c r="AS26">
        <f>VLOOKUP($A26,Servings!$C:$Y,21,FALSE)</f>
        <v>0</v>
      </c>
      <c r="AT26">
        <f>VLOOKUP($A26,Servings!$C:$Y,22,FALSE)</f>
        <v>0</v>
      </c>
      <c r="AU26">
        <f>VLOOKUP($A26,Servings!$C:$Y,23,FALSE)</f>
        <v>0</v>
      </c>
    </row>
    <row r="27" spans="1:47" ht="15" customHeight="1" x14ac:dyDescent="0.25">
      <c r="A27" s="2" t="s">
        <v>26</v>
      </c>
      <c r="B27" s="2">
        <v>2</v>
      </c>
      <c r="C27" s="2" t="str">
        <f>IF(IFERROR(VLOOKUP(A27, Servings!C:G, 3, FALSE), "")=0, "", IFERROR(VLOOKUP(A27, Servings!C:G, 3, FALSE), ""))</f>
        <v/>
      </c>
      <c r="D27" s="2" t="str">
        <f>IF(IFERROR(VLOOKUP(A27, Servings!C:G, 5, FALSE), "")=0, "", IFERROR(VLOOKUP(A27, Servings!C:G, 5, FALSE), ""))</f>
        <v>gummies</v>
      </c>
      <c r="E27" s="2" t="s">
        <v>33</v>
      </c>
      <c r="F27" s="2"/>
      <c r="G27" s="3">
        <f>B27/AB27</f>
        <v>1</v>
      </c>
      <c r="H27" s="4">
        <f t="shared" si="0"/>
        <v>15</v>
      </c>
      <c r="I27" s="4">
        <f t="shared" si="1"/>
        <v>0</v>
      </c>
      <c r="J27" s="4">
        <f t="shared" si="2"/>
        <v>4</v>
      </c>
      <c r="K27" s="4">
        <f t="shared" si="3"/>
        <v>0</v>
      </c>
      <c r="L27" s="4">
        <f t="shared" si="5"/>
        <v>3</v>
      </c>
      <c r="M27" s="4">
        <f t="shared" si="6"/>
        <v>3</v>
      </c>
      <c r="N27" s="4">
        <f t="shared" si="7"/>
        <v>0</v>
      </c>
      <c r="O27" s="4">
        <f t="shared" si="8"/>
        <v>0</v>
      </c>
      <c r="P27" s="4">
        <f t="shared" si="9"/>
        <v>0</v>
      </c>
      <c r="Q27" s="4">
        <f t="shared" si="10"/>
        <v>0</v>
      </c>
      <c r="R27" s="4">
        <f t="shared" si="11"/>
        <v>0</v>
      </c>
      <c r="S27" s="4">
        <f t="shared" si="12"/>
        <v>0</v>
      </c>
      <c r="T27" s="4">
        <f t="shared" si="13"/>
        <v>10</v>
      </c>
      <c r="U27" s="4">
        <f t="shared" si="14"/>
        <v>3</v>
      </c>
      <c r="V27" s="4">
        <f t="shared" si="15"/>
        <v>0</v>
      </c>
      <c r="W27" s="4">
        <f t="shared" si="16"/>
        <v>720</v>
      </c>
      <c r="X27" s="4">
        <f t="shared" si="17"/>
        <v>36</v>
      </c>
      <c r="Y27" s="4">
        <f t="shared" si="18"/>
        <v>25</v>
      </c>
      <c r="Z27" s="2">
        <f>VLOOKUP($A27,Servings!$C:$K,2,FALSE)</f>
        <v>0</v>
      </c>
      <c r="AA27" s="2">
        <f>VLOOKUP($A27,Servings!$C:$K,3,FALSE)</f>
        <v>0</v>
      </c>
      <c r="AB27" s="2">
        <f>VLOOKUP($A27,Servings!$C:$K,4,FALSE)</f>
        <v>2</v>
      </c>
      <c r="AC27" s="2" t="str">
        <f>VLOOKUP($A27,Servings!$C:$K,5,FALSE)</f>
        <v>gummies</v>
      </c>
      <c r="AD27" s="14">
        <f>VLOOKUP($A27,Servings!$C:$K,6,FALSE)</f>
        <v>15</v>
      </c>
      <c r="AE27" s="2">
        <f>VLOOKUP($A27,Servings!$C:$K,7,FALSE)</f>
        <v>0</v>
      </c>
      <c r="AF27" s="2">
        <f>VLOOKUP($A27,Servings!$C:$K,8,FALSE)</f>
        <v>4</v>
      </c>
      <c r="AG27" s="2">
        <f>VLOOKUP($A27,Servings!$C:$K,9,FALSE)</f>
        <v>0</v>
      </c>
      <c r="AH27">
        <f>VLOOKUP($A27,Servings!$C:$Y,10,FALSE)</f>
        <v>3</v>
      </c>
      <c r="AI27">
        <f>VLOOKUP($A27,Servings!$C:$Y,11,FALSE)</f>
        <v>3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</v>
      </c>
      <c r="AP27">
        <f>VLOOKUP($A27,Servings!$C:$Y,18,FALSE)</f>
        <v>10</v>
      </c>
      <c r="AQ27">
        <f>VLOOKUP($A27,Servings!$C:$Y,19,FALSE)</f>
        <v>3</v>
      </c>
      <c r="AR27">
        <f>VLOOKUP($A27,Servings!$C:$Y,20,FALSE)</f>
        <v>0</v>
      </c>
      <c r="AS27">
        <f>VLOOKUP($A27,Servings!$C:$Y,21,FALSE)</f>
        <v>720</v>
      </c>
      <c r="AT27">
        <f>VLOOKUP($A27,Servings!$C:$Y,22,FALSE)</f>
        <v>36</v>
      </c>
      <c r="AU27">
        <f>VLOOKUP($A27,Servings!$C:$Y,23,FALSE)</f>
        <v>25</v>
      </c>
    </row>
    <row r="28" spans="1:47" ht="15" customHeight="1" x14ac:dyDescent="0.25">
      <c r="A28" s="2" t="s">
        <v>148</v>
      </c>
      <c r="B28" s="2">
        <v>2</v>
      </c>
      <c r="C28" s="2" t="str">
        <f>IF(IFERROR(VLOOKUP(A28, Servings!C:G, 3, FALSE), "")=0, "", IFERROR(VLOOKUP(A28, Servings!C:G, 3, FALSE), ""))</f>
        <v>g</v>
      </c>
      <c r="D28" s="2" t="str">
        <f>IF(IFERROR(VLOOKUP(A28, Servings!C:G, 5, FALSE), "")=0, "", IFERROR(VLOOKUP(A28, Servings!C:G, 5, FALSE), ""))</f>
        <v>tsp</v>
      </c>
      <c r="E28" s="2" t="s">
        <v>149</v>
      </c>
      <c r="F28" s="2"/>
      <c r="G28" s="3">
        <f>B28/AB28</f>
        <v>2</v>
      </c>
      <c r="H28" s="4">
        <f t="shared" ref="H28" si="19">$G28*AD28</f>
        <v>0</v>
      </c>
      <c r="I28" s="4">
        <f t="shared" ref="I28" si="20">$G28*AE28</f>
        <v>0</v>
      </c>
      <c r="J28" s="4">
        <f t="shared" ref="J28" si="21">$G28*AF28</f>
        <v>0</v>
      </c>
      <c r="K28" s="4">
        <f t="shared" ref="K28" si="22">$G28*AG28</f>
        <v>0</v>
      </c>
      <c r="L28" s="4">
        <f t="shared" ref="L28" si="23">$G28*AH28</f>
        <v>0</v>
      </c>
      <c r="M28" s="4">
        <f t="shared" ref="M28" si="24">$G28*AI28</f>
        <v>0</v>
      </c>
      <c r="N28" s="4">
        <f t="shared" ref="N28" si="25">$G28*AJ28</f>
        <v>0</v>
      </c>
      <c r="O28" s="4">
        <f t="shared" ref="O28" si="26">$G28*AK28</f>
        <v>0</v>
      </c>
      <c r="P28" s="4">
        <f t="shared" ref="P28" si="27">$G28*AL28</f>
        <v>0</v>
      </c>
      <c r="Q28" s="4">
        <f t="shared" ref="Q28" si="28">$G28*AM28</f>
        <v>0</v>
      </c>
      <c r="R28" s="4">
        <f t="shared" ref="R28" si="29">$G28*AN28</f>
        <v>0</v>
      </c>
      <c r="S28" s="4">
        <f t="shared" ref="S28" si="30">$G28*AO28</f>
        <v>0</v>
      </c>
      <c r="T28" s="4">
        <f t="shared" ref="T28" si="31">$G28*AP28</f>
        <v>0</v>
      </c>
      <c r="U28" s="4">
        <f t="shared" ref="U28" si="32">$G28*AQ28</f>
        <v>0</v>
      </c>
      <c r="V28" s="4">
        <f t="shared" ref="V28" si="33">$G28*AR28</f>
        <v>0</v>
      </c>
      <c r="W28" s="4">
        <f t="shared" ref="W28" si="34">$G28*AS28</f>
        <v>0</v>
      </c>
      <c r="X28" s="4">
        <f t="shared" ref="X28" si="35">$G28*AT28</f>
        <v>0</v>
      </c>
      <c r="Y28" s="4">
        <f t="shared" ref="Y28" si="36">$G28*AU28</f>
        <v>0</v>
      </c>
      <c r="Z28" s="2">
        <f>VLOOKUP($A28,Servings!$C:$K,2,FALSE)</f>
        <v>5</v>
      </c>
      <c r="AA28" s="2" t="str">
        <f>VLOOKUP($A28,Servings!$C:$K,3,FALSE)</f>
        <v>g</v>
      </c>
      <c r="AB28" s="2">
        <f>VLOOKUP($A28,Servings!$C:$K,4,FALSE)</f>
        <v>1</v>
      </c>
      <c r="AC28" s="2" t="str">
        <f>VLOOKUP($A28,Servings!$C:$K,5,FALSE)</f>
        <v>tsp</v>
      </c>
      <c r="AD28" s="14">
        <f>VLOOKUP($A28,Servings!$C:$K,6,FALSE)</f>
        <v>0</v>
      </c>
      <c r="AE28" s="2">
        <f>VLOOKUP($A28,Servings!$C:$K,7,FALSE)</f>
        <v>0</v>
      </c>
      <c r="AF28" s="2">
        <f>VLOOKUP($A28,Servings!$C:$K,8,FALSE)</f>
        <v>0</v>
      </c>
      <c r="AG28" s="2">
        <f>VLOOKUP($A28,Servings!$C:$K,9,FALSE)</f>
        <v>0</v>
      </c>
      <c r="AH28">
        <f>VLOOKUP($A28,Servings!$C:$Y,10,FALSE)</f>
        <v>0</v>
      </c>
      <c r="AI28">
        <f>VLOOKUP($A28,Servings!$C:$Y,11,FALSE)</f>
        <v>0</v>
      </c>
      <c r="AJ28">
        <f>VLOOKUP($A28,Servings!$C:$Y,12,FALSE)</f>
        <v>0</v>
      </c>
      <c r="AK28">
        <f>VLOOKUP($A28,Servings!$C:$Y,13,FALSE)</f>
        <v>0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0</v>
      </c>
      <c r="AO28">
        <f>VLOOKUP($A28,Servings!$C:$Y,17,FALSE)</f>
        <v>0</v>
      </c>
      <c r="AP28">
        <f>VLOOKUP($A28,Servings!$C:$Y,18,FALSE)</f>
        <v>0</v>
      </c>
      <c r="AQ28">
        <f>VLOOKUP($A28,Servings!$C:$Y,19,FALSE)</f>
        <v>0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0</v>
      </c>
    </row>
    <row r="29" spans="1:47" ht="15" customHeight="1" x14ac:dyDescent="0.25">
      <c r="A29" s="2" t="s">
        <v>168</v>
      </c>
      <c r="B29" s="2">
        <v>2</v>
      </c>
      <c r="C29" s="2" t="str">
        <f>IF(IFERROR(VLOOKUP(A29, Servings!C:G, 3, FALSE), "")=0, "", IFERROR(VLOOKUP(A29, Servings!C:G, 3, FALSE), ""))</f>
        <v/>
      </c>
      <c r="D29" s="2" t="str">
        <f>IF(IFERROR(VLOOKUP(A29, Servings!C:G, 5, FALSE), "")=0, "", IFERROR(VLOOKUP(A29, Servings!C:G, 5, FALSE), ""))</f>
        <v>gummies</v>
      </c>
      <c r="E29" s="2" t="s">
        <v>28</v>
      </c>
      <c r="F29" s="2"/>
      <c r="G29" s="3">
        <f>B29/AB29</f>
        <v>1</v>
      </c>
      <c r="H29" s="4">
        <f t="shared" ref="H29" si="37">$G29*AD29</f>
        <v>10</v>
      </c>
      <c r="I29" s="4">
        <f t="shared" ref="I29" si="38">$G29*AE29</f>
        <v>0</v>
      </c>
      <c r="J29" s="4">
        <f t="shared" ref="J29" si="39">$G29*AF29</f>
        <v>3</v>
      </c>
      <c r="K29" s="4">
        <f t="shared" ref="K29" si="40">$G29*AG29</f>
        <v>0</v>
      </c>
      <c r="L29" s="4">
        <f t="shared" ref="L29" si="41">$G29*AH29</f>
        <v>0</v>
      </c>
      <c r="M29" s="4">
        <f t="shared" ref="M29" si="42">$G29*AI29</f>
        <v>0</v>
      </c>
      <c r="N29" s="4">
        <f t="shared" ref="N29" si="43">$G29*AJ29</f>
        <v>0</v>
      </c>
      <c r="O29" s="4">
        <f t="shared" ref="O29" si="44">$G29*AK29</f>
        <v>0</v>
      </c>
      <c r="P29" s="4">
        <f t="shared" ref="P29" si="45">$G29*AL29</f>
        <v>0</v>
      </c>
      <c r="Q29" s="4">
        <f t="shared" ref="Q29" si="46">$G29*AM29</f>
        <v>0</v>
      </c>
      <c r="R29" s="4">
        <f t="shared" ref="R29" si="47">$G29*AN29</f>
        <v>0</v>
      </c>
      <c r="S29" s="4">
        <f t="shared" ref="S29" si="48">$G29*AO29</f>
        <v>0</v>
      </c>
      <c r="T29" s="4">
        <f t="shared" ref="T29" si="49">$G29*AP29</f>
        <v>0</v>
      </c>
      <c r="U29" s="4">
        <f t="shared" ref="U29" si="50">$G29*AQ29</f>
        <v>3</v>
      </c>
      <c r="V29" s="4">
        <f t="shared" ref="V29" si="51">$G29*AR29</f>
        <v>0</v>
      </c>
      <c r="W29" s="4">
        <f t="shared" ref="W29" si="52">$G29*AS29</f>
        <v>0</v>
      </c>
      <c r="X29" s="4">
        <f t="shared" ref="X29" si="53">$G29*AT29</f>
        <v>0</v>
      </c>
      <c r="Y29" s="4">
        <f t="shared" ref="Y29" si="54">$G29*AU29</f>
        <v>0</v>
      </c>
      <c r="Z29" s="2">
        <f>VLOOKUP($A29,Servings!$C:$K,2,FALSE)</f>
        <v>0</v>
      </c>
      <c r="AA29" s="2">
        <f>VLOOKUP($A29,Servings!$C:$K,3,FALSE)</f>
        <v>0</v>
      </c>
      <c r="AB29" s="2">
        <f>VLOOKUP($A29,Servings!$C:$K,4,FALSE)</f>
        <v>2</v>
      </c>
      <c r="AC29" s="2" t="str">
        <f>VLOOKUP($A29,Servings!$C:$K,5,FALSE)</f>
        <v>gummies</v>
      </c>
      <c r="AD29" s="14">
        <f>VLOOKUP($A29,Servings!$C:$K,6,FALSE)</f>
        <v>10</v>
      </c>
      <c r="AE29" s="2">
        <f>VLOOKUP($A29,Servings!$C:$K,7,FALSE)</f>
        <v>0</v>
      </c>
      <c r="AF29" s="2">
        <f>VLOOKUP($A29,Servings!$C:$K,8,FALSE)</f>
        <v>3</v>
      </c>
      <c r="AG29" s="2">
        <f>VLOOKUP($A29,Servings!$C:$K,9,FALSE)</f>
        <v>0</v>
      </c>
      <c r="AH29">
        <f>VLOOKUP($A29,Servings!$C:$Y,10,FALSE)</f>
        <v>0</v>
      </c>
      <c r="AI29">
        <f>VLOOKUP($A29,Servings!$C:$Y,11,FALSE)</f>
        <v>0</v>
      </c>
      <c r="AJ29">
        <f>VLOOKUP($A29,Servings!$C:$Y,12,FALSE)</f>
        <v>0</v>
      </c>
      <c r="AK29">
        <f>VLOOKUP($A29,Servings!$C:$Y,13,FALSE)</f>
        <v>0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0</v>
      </c>
      <c r="AO29">
        <f>VLOOKUP($A29,Servings!$C:$Y,17,FALSE)</f>
        <v>0</v>
      </c>
      <c r="AP29">
        <f>VLOOKUP($A29,Servings!$C:$Y,18,FALSE)</f>
        <v>0</v>
      </c>
      <c r="AQ29">
        <f>VLOOKUP($A29,Servings!$C:$Y,19,FALSE)</f>
        <v>3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D30" s="2" t="e">
        <f>VLOOKUP($A30,Servings!$C:$K,6,FALSE)</f>
        <v>#N/A</v>
      </c>
      <c r="AE30" s="2" t="e">
        <f>VLOOKUP($A30,Servings!$C:$K,7,FALSE)</f>
        <v>#N/A</v>
      </c>
      <c r="AF30" s="2" t="e">
        <f>VLOOKUP($A30,Servings!$C:$K,8,FALSE)</f>
        <v>#N/A</v>
      </c>
      <c r="AG30" s="2" t="e">
        <f>VLOOKUP($A30,Servings!$C:$K,9,FALSE)</f>
        <v>#N/A</v>
      </c>
      <c r="AH30" t="e">
        <f>VLOOKUP($A30,Servings!$C:$Y,10,FALSE)</f>
        <v>#N/A</v>
      </c>
      <c r="AI30" t="e">
        <f>VLOOKUP($A30,Servings!$C:$Y,11,FALSE)</f>
        <v>#N/A</v>
      </c>
      <c r="AJ30" t="e">
        <f>VLOOKUP($A30,Servings!$C:$Y,12,FALSE)</f>
        <v>#N/A</v>
      </c>
      <c r="AK30" t="e">
        <f>VLOOKUP($A30,Servings!$C:$Y,13,FALSE)</f>
        <v>#N/A</v>
      </c>
      <c r="AL30" t="e">
        <f>VLOOKUP($A30,Servings!$C:$Y,14,FALSE)</f>
        <v>#N/A</v>
      </c>
      <c r="AM30" t="e">
        <f>VLOOKUP($A30,Servings!$C:$Y,15,FALSE)</f>
        <v>#N/A</v>
      </c>
      <c r="AN30" t="e">
        <f>VLOOKUP($A30,Servings!$C:$Y,16,FALSE)</f>
        <v>#N/A</v>
      </c>
      <c r="AO30" t="e">
        <f>VLOOKUP($A30,Servings!$C:$Y,17,FALSE)</f>
        <v>#N/A</v>
      </c>
      <c r="AP30" t="e">
        <f>VLOOKUP($A30,Servings!$C:$Y,18,FALSE)</f>
        <v>#N/A</v>
      </c>
      <c r="AQ30" t="e">
        <f>VLOOKUP($A30,Servings!$C:$Y,19,FALSE)</f>
        <v>#N/A</v>
      </c>
      <c r="AR30" t="e">
        <f>VLOOKUP($A30,Servings!$C:$Y,20,FALSE)</f>
        <v>#N/A</v>
      </c>
      <c r="AS30" t="e">
        <f>VLOOKUP($A30,Servings!$C:$Y,21,FALSE)</f>
        <v>#N/A</v>
      </c>
      <c r="AT30" t="e">
        <f>VLOOKUP($A30,Servings!$C:$Y,22,FALSE)</f>
        <v>#N/A</v>
      </c>
      <c r="AU30" t="e">
        <f>VLOOKUP($A30,Servings!$C:$Y,23,FALSE)</f>
        <v>#N/A</v>
      </c>
    </row>
    <row r="31" spans="1:47" x14ac:dyDescent="0.25">
      <c r="AD31" s="2" t="e">
        <f>VLOOKUP($A31,Servings!$C:$K,6,FALSE)</f>
        <v>#N/A</v>
      </c>
      <c r="AE31" s="2" t="e">
        <f>VLOOKUP($A31,Servings!$C:$K,7,FALSE)</f>
        <v>#N/A</v>
      </c>
      <c r="AF31" s="2" t="e">
        <f>VLOOKUP($A31,Servings!$C:$K,8,FALSE)</f>
        <v>#N/A</v>
      </c>
      <c r="AG31" s="2" t="e">
        <f>VLOOKUP($A31,Servings!$C:$K,9,FALSE)</f>
        <v>#N/A</v>
      </c>
      <c r="AH31" t="e">
        <f>VLOOKUP($A31,Servings!$C:$Y,10,FALSE)</f>
        <v>#N/A</v>
      </c>
      <c r="AI31" t="e">
        <f>VLOOKUP($A31,Servings!$C:$Y,11,FALSE)</f>
        <v>#N/A</v>
      </c>
      <c r="AJ31" t="e">
        <f>VLOOKUP($A31,Servings!$C:$Y,12,FALSE)</f>
        <v>#N/A</v>
      </c>
      <c r="AK31" t="e">
        <f>VLOOKUP($A31,Servings!$C:$Y,13,FALSE)</f>
        <v>#N/A</v>
      </c>
      <c r="AL31" t="e">
        <f>VLOOKUP($A31,Servings!$C:$Y,14,FALSE)</f>
        <v>#N/A</v>
      </c>
      <c r="AM31" t="e">
        <f>VLOOKUP($A31,Servings!$C:$Y,15,FALSE)</f>
        <v>#N/A</v>
      </c>
      <c r="AN31" t="e">
        <f>VLOOKUP($A31,Servings!$C:$Y,16,FALSE)</f>
        <v>#N/A</v>
      </c>
      <c r="AO31" t="e">
        <f>VLOOKUP($A31,Servings!$C:$Y,17,FALSE)</f>
        <v>#N/A</v>
      </c>
      <c r="AP31" t="e">
        <f>VLOOKUP($A31,Servings!$C:$Y,18,FALSE)</f>
        <v>#N/A</v>
      </c>
      <c r="AQ31" t="e">
        <f>VLOOKUP($A31,Servings!$C:$Y,19,FALSE)</f>
        <v>#N/A</v>
      </c>
      <c r="AR31" t="e">
        <f>VLOOKUP($A31,Servings!$C:$Y,20,FALSE)</f>
        <v>#N/A</v>
      </c>
      <c r="AS31" t="e">
        <f>VLOOKUP($A31,Servings!$C:$Y,21,FALSE)</f>
        <v>#N/A</v>
      </c>
      <c r="AT31" t="e">
        <f>VLOOKUP($A31,Servings!$C:$Y,22,FALSE)</f>
        <v>#N/A</v>
      </c>
      <c r="AU31" t="e">
        <f>VLOOKUP($A31,Servings!$C:$Y,23,FALSE)</f>
        <v>#N/A</v>
      </c>
    </row>
  </sheetData>
  <conditionalFormatting sqref="H10">
    <cfRule type="colorScale" priority="18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17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16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15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L10">
    <cfRule type="colorScale" priority="14">
      <colorScale>
        <cfvo type="formula" val="-$L$6"/>
        <cfvo type="num" val="0"/>
        <cfvo type="formula" val="$L$6"/>
        <color rgb="FF5A8AC6"/>
        <color rgb="FFFCFCFF"/>
        <color rgb="FFF8696B"/>
      </colorScale>
    </cfRule>
  </conditionalFormatting>
  <conditionalFormatting sqref="M10">
    <cfRule type="colorScale" priority="13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12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11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P10">
    <cfRule type="colorScale" priority="10">
      <colorScale>
        <cfvo type="formula" val="-$P$6"/>
        <cfvo type="num" val="0"/>
        <cfvo type="formula" val="$P$6"/>
        <color rgb="FF5A8AC6"/>
        <color rgb="FFFCFCFF"/>
        <color rgb="FFF8696B"/>
      </colorScale>
    </cfRule>
  </conditionalFormatting>
  <conditionalFormatting sqref="Q10">
    <cfRule type="colorScale" priority="9">
      <colorScale>
        <cfvo type="formula" val="-$Q$6"/>
        <cfvo type="num" val="0"/>
        <cfvo type="formula" val="$Q$6"/>
        <color rgb="FF5A8AC6"/>
        <color rgb="FFFCFCFF"/>
        <color rgb="FFF8696B"/>
      </colorScale>
    </cfRule>
  </conditionalFormatting>
  <conditionalFormatting sqref="R10">
    <cfRule type="colorScale" priority="8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S10">
    <cfRule type="colorScale" priority="7">
      <colorScale>
        <cfvo type="formula" val="-$S$6"/>
        <cfvo type="num" val="0"/>
        <cfvo type="formula" val="$S$6"/>
        <color rgb="FF5A8AC6"/>
        <color rgb="FFFCFCFF"/>
        <color rgb="FFF8696B"/>
      </colorScale>
    </cfRule>
  </conditionalFormatting>
  <conditionalFormatting sqref="T10">
    <cfRule type="colorScale" priority="6">
      <colorScale>
        <cfvo type="formula" val="-$T$6"/>
        <cfvo type="num" val="0"/>
        <cfvo type="formula" val="$T$6"/>
        <color rgb="FF5A8AC6"/>
        <color rgb="FFFCFCFF"/>
        <color rgb="FFF8696B"/>
      </colorScale>
    </cfRule>
  </conditionalFormatting>
  <conditionalFormatting sqref="U10">
    <cfRule type="colorScale" priority="5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V10">
    <cfRule type="colorScale" priority="4">
      <colorScale>
        <cfvo type="formula" val="-$V$6"/>
        <cfvo type="num" val="0"/>
        <cfvo type="formula" val="$V$6"/>
        <color rgb="FF5A8AC6"/>
        <color rgb="FFFCFCFF"/>
        <color rgb="FFF8696B"/>
      </colorScale>
    </cfRule>
  </conditionalFormatting>
  <conditionalFormatting sqref="W10">
    <cfRule type="colorScale" priority="3">
      <colorScale>
        <cfvo type="formula" val="-$W$6"/>
        <cfvo type="num" val="0"/>
        <cfvo type="formula" val="$W$6"/>
        <color rgb="FF5A8AC6"/>
        <color rgb="FFFCFCFF"/>
        <color rgb="FFF8696B"/>
      </colorScale>
    </cfRule>
  </conditionalFormatting>
  <conditionalFormatting sqref="X10">
    <cfRule type="colorScale" priority="2">
      <colorScale>
        <cfvo type="formula" val="-$X$6"/>
        <cfvo type="num" val="0"/>
        <cfvo type="formula" val="$X$6"/>
        <color rgb="FF5A8AC6"/>
        <color rgb="FFFCFCFF"/>
        <color rgb="FFF8696B"/>
      </colorScale>
    </cfRule>
  </conditionalFormatting>
  <conditionalFormatting sqref="Y10">
    <cfRule type="colorScale" priority="1">
      <colorScale>
        <cfvo type="formula" val="-$Y$6"/>
        <cfvo type="num" val="0"/>
        <cfvo type="formula" val="$Y$6"/>
        <color rgb="FF5A8AC6"/>
        <color rgb="FFFCFCFF"/>
        <color rgb="FFF8696B"/>
      </colorScale>
    </cfRule>
  </conditionalFormatting>
  <dataValidations count="3">
    <dataValidation type="list" allowBlank="1" showInputMessage="1" showErrorMessage="1" sqref="A13:A29" xr:uid="{822D8BAF-CE2A-4C83-93F7-F00BA9ED2F2E}">
      <formula1>food_name</formula1>
    </dataValidation>
    <dataValidation type="list" allowBlank="1" showInputMessage="1" showErrorMessage="1" sqref="E13:E29" xr:uid="{92C4B42D-DB82-403C-8578-6335AB8BDF20}">
      <formula1>OFFSET($C13,0,0,1,IF(D13&lt;&gt;"",2,1))</formula1>
    </dataValidation>
    <dataValidation type="list" allowBlank="1" showInputMessage="1" showErrorMessage="1" sqref="G10" xr:uid="{CF0E4206-F42B-4696-BC6F-7AEB891490F5}">
      <formula1>Type_of_day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0F4C-971B-4C66-B045-58DCEF05C481}">
  <dimension ref="A2:AW32"/>
  <sheetViews>
    <sheetView zoomScaleNormal="100" workbookViewId="0">
      <selection activeCell="A21" sqref="A21:XFD21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9.28515625" bestFit="1" customWidth="1"/>
    <col min="7" max="7" width="13.5703125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bestFit="1" customWidth="1"/>
    <col min="27" max="27" width="19" bestFit="1" customWidth="1"/>
    <col min="28" max="28" width="23.85546875" bestFit="1" customWidth="1"/>
    <col min="29" max="29" width="32.5703125" bestFit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ht="15.75" thickBot="1" x14ac:dyDescent="0.3">
      <c r="H2">
        <f>SUM(I2:K2)</f>
        <v>2858.7</v>
      </c>
      <c r="I2">
        <f>I6*9</f>
        <v>571.5</v>
      </c>
      <c r="J2">
        <f>J6*4</f>
        <v>1574.4</v>
      </c>
      <c r="K2">
        <f>K6*4</f>
        <v>712.8</v>
      </c>
    </row>
    <row r="3" spans="1:47" ht="16.5" thickTop="1" thickBot="1" x14ac:dyDescent="0.3">
      <c r="G3" s="5" t="s">
        <v>52</v>
      </c>
      <c r="H3" s="5" t="s">
        <v>53</v>
      </c>
      <c r="I3" s="5" t="s">
        <v>55</v>
      </c>
      <c r="J3" s="5" t="s">
        <v>56</v>
      </c>
      <c r="K3" s="5" t="s">
        <v>54</v>
      </c>
      <c r="L3" s="8" t="s">
        <v>71</v>
      </c>
      <c r="M3" s="8" t="s">
        <v>72</v>
      </c>
      <c r="N3" s="8" t="s">
        <v>65</v>
      </c>
      <c r="O3" s="8" t="s">
        <v>73</v>
      </c>
      <c r="P3" s="8" t="s">
        <v>74</v>
      </c>
      <c r="Q3" s="8" t="s">
        <v>75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77</v>
      </c>
      <c r="X3" s="8" t="s">
        <v>78</v>
      </c>
      <c r="Y3" s="8" t="s">
        <v>76</v>
      </c>
    </row>
    <row r="4" spans="1:47" ht="15.75" thickTop="1" x14ac:dyDescent="0.25">
      <c r="G4" s="19" t="s">
        <v>169</v>
      </c>
      <c r="H4" s="19">
        <f>I4*9+J4*4+K4*4</f>
        <v>2425.8000000000002</v>
      </c>
      <c r="I4" s="19">
        <v>57</v>
      </c>
      <c r="J4" s="19">
        <v>300</v>
      </c>
      <c r="K4" s="19">
        <v>178.2</v>
      </c>
    </row>
    <row r="5" spans="1:47" x14ac:dyDescent="0.25">
      <c r="G5" s="19" t="s">
        <v>57</v>
      </c>
      <c r="H5" s="19">
        <v>2358.6999999999998</v>
      </c>
      <c r="I5" s="19">
        <v>63.5</v>
      </c>
      <c r="J5" s="19">
        <v>268.60000000000002</v>
      </c>
      <c r="K5" s="19">
        <v>178.2</v>
      </c>
    </row>
    <row r="6" spans="1:47" x14ac:dyDescent="0.25">
      <c r="G6" s="20" t="s">
        <v>58</v>
      </c>
      <c r="H6" s="19">
        <v>2858.7</v>
      </c>
      <c r="I6" s="19">
        <v>63.5</v>
      </c>
      <c r="J6" s="19">
        <v>393.6</v>
      </c>
      <c r="K6" s="19">
        <v>178.2</v>
      </c>
      <c r="L6">
        <v>36</v>
      </c>
      <c r="M6">
        <v>1000</v>
      </c>
      <c r="N6">
        <v>38</v>
      </c>
      <c r="O6">
        <v>8</v>
      </c>
      <c r="P6">
        <f>I6</f>
        <v>63.5</v>
      </c>
      <c r="Q6">
        <f>I6</f>
        <v>63.5</v>
      </c>
      <c r="R6">
        <v>3400</v>
      </c>
      <c r="S6">
        <v>32</v>
      </c>
      <c r="T6">
        <v>2300</v>
      </c>
      <c r="U6" s="19">
        <f>H6*0.1/4</f>
        <v>71.467500000000001</v>
      </c>
      <c r="V6">
        <v>2.8</v>
      </c>
      <c r="W6">
        <v>900</v>
      </c>
      <c r="X6">
        <v>90</v>
      </c>
      <c r="Y6">
        <v>20</v>
      </c>
    </row>
    <row r="7" spans="1:47" x14ac:dyDescent="0.25">
      <c r="G7" s="19" t="s">
        <v>59</v>
      </c>
      <c r="H7" s="19">
        <v>2858.7</v>
      </c>
      <c r="I7" s="19">
        <v>63.5</v>
      </c>
      <c r="J7" s="19">
        <v>442.2</v>
      </c>
      <c r="K7" s="19">
        <v>129.6</v>
      </c>
    </row>
    <row r="8" spans="1:47" x14ac:dyDescent="0.25">
      <c r="G8" s="19" t="s">
        <v>60</v>
      </c>
      <c r="H8" s="19">
        <v>3358.7</v>
      </c>
      <c r="I8" s="19">
        <v>63.5</v>
      </c>
      <c r="J8" s="19">
        <v>518.6</v>
      </c>
      <c r="K8" s="19">
        <v>178.2</v>
      </c>
    </row>
    <row r="9" spans="1:47" x14ac:dyDescent="0.25">
      <c r="G9" s="12" t="s">
        <v>61</v>
      </c>
      <c r="H9" s="4">
        <f>SUM(H13:H1048576)</f>
        <v>3004.161375661376</v>
      </c>
      <c r="I9" s="4">
        <f>SUM(I13:I1048576)</f>
        <v>70.694642857142853</v>
      </c>
      <c r="J9" s="4">
        <f>SUM(J13:J1048576)</f>
        <v>434.13809523809527</v>
      </c>
      <c r="K9" s="4">
        <f>SUM(K13:K1048576)</f>
        <v>170.77579365079367</v>
      </c>
      <c r="L9" s="4">
        <f>SUM(L13:L1048576)</f>
        <v>27.214285714285715</v>
      </c>
      <c r="M9" s="4">
        <f>SUM(M13:M1048576)</f>
        <v>1069.4814814814815</v>
      </c>
      <c r="N9" s="4">
        <f>SUM(N13:N1048576)</f>
        <v>13.285714285714286</v>
      </c>
      <c r="O9" s="4">
        <f>SUM(O13:O1048576)</f>
        <v>4.72</v>
      </c>
      <c r="P9" s="4">
        <f>SUM(P13:P1048576)</f>
        <v>16.857142857142858</v>
      </c>
      <c r="Q9" s="4">
        <f>SUM(Q13:Q1048576)</f>
        <v>5.7857142857142856</v>
      </c>
      <c r="R9" s="4">
        <f>SUM(R13:R1048576)</f>
        <v>2897</v>
      </c>
      <c r="S9" s="4">
        <f>SUM(S13:S1048576)</f>
        <v>12.9</v>
      </c>
      <c r="T9" s="4">
        <f>SUM(T13:T1048576)</f>
        <v>1249.5</v>
      </c>
      <c r="U9" s="4">
        <f>SUM(U13:U1048576)</f>
        <v>65.8</v>
      </c>
      <c r="V9" s="4">
        <f>SUM(V13:V1048576)</f>
        <v>0</v>
      </c>
      <c r="W9" s="4">
        <f>SUM(W13:W1048576)</f>
        <v>720</v>
      </c>
      <c r="X9" s="4">
        <f>SUM(X13:X1048576)</f>
        <v>36</v>
      </c>
      <c r="Y9" s="4">
        <f>SUM(Y13:Y1048576)</f>
        <v>187.5</v>
      </c>
    </row>
    <row r="10" spans="1:47" x14ac:dyDescent="0.25">
      <c r="F10" s="11" t="s">
        <v>255</v>
      </c>
      <c r="G10" s="5" t="s">
        <v>58</v>
      </c>
      <c r="H10" s="23">
        <f>H9-VLOOKUP($G10,$G$3:$Y$8,COLUMN(H3)-6,FALSE)</f>
        <v>145.46137566137622</v>
      </c>
      <c r="I10" s="23">
        <f>I9-VLOOKUP($G10,$G$3:$Y$8,COLUMN(I3)-6,FALSE)</f>
        <v>7.1946428571428527</v>
      </c>
      <c r="J10" s="23">
        <f>J9-VLOOKUP($G10,$G$3:$Y$8,COLUMN(J3)-6,FALSE)</f>
        <v>40.538095238095252</v>
      </c>
      <c r="K10" s="23">
        <f>K9-VLOOKUP($G10,$G$3:$Y$8,COLUMN(K3)-6,FALSE)</f>
        <v>-7.4242063492063153</v>
      </c>
      <c r="L10" s="23">
        <f>L9-VLOOKUP($G10,$G$3:$Y$8,COLUMN(L3)-6,FALSE)</f>
        <v>-8.7857142857142847</v>
      </c>
      <c r="M10" s="23">
        <f>M9-VLOOKUP($G10,$G$3:$Y$8,COLUMN(M3)-6,FALSE)</f>
        <v>69.481481481481524</v>
      </c>
      <c r="N10" s="23">
        <f>N9-VLOOKUP($G10,$G$3:$Y$8,COLUMN(N3)-6,FALSE)</f>
        <v>-24.714285714285715</v>
      </c>
      <c r="O10" s="23">
        <f>O9-VLOOKUP($G10,$G$3:$Y$8,COLUMN(O3)-6,FALSE)</f>
        <v>-3.2800000000000002</v>
      </c>
      <c r="P10" s="23">
        <f>P9-VLOOKUP($G10,$G$3:$Y$8,COLUMN(P3)-6,FALSE)</f>
        <v>-46.642857142857139</v>
      </c>
      <c r="Q10" s="23">
        <f>Q9-VLOOKUP($G10,$G$3:$Y$8,COLUMN(Q3)-6,FALSE)</f>
        <v>-57.714285714285715</v>
      </c>
      <c r="R10" s="23">
        <f>R9-VLOOKUP($G10,$G$3:$Y$8,COLUMN(R3)-6,FALSE)</f>
        <v>-503</v>
      </c>
      <c r="S10" s="23">
        <f>S9-VLOOKUP($G10,$G$3:$Y$8,COLUMN(S3)-6,FALSE)</f>
        <v>-19.100000000000001</v>
      </c>
      <c r="T10" s="23">
        <f>T9-VLOOKUP($G10,$G$3:$Y$8,COLUMN(T3)-6,FALSE)</f>
        <v>-1050.5</v>
      </c>
      <c r="U10" s="23">
        <f>U9-VLOOKUP($G10,$G$3:$Y$8,COLUMN(U3)-6,FALSE)</f>
        <v>-5.667500000000004</v>
      </c>
      <c r="V10" s="23">
        <f>V9-VLOOKUP($G10,$G$3:$Y$8,COLUMN(V3)-6,FALSE)</f>
        <v>-2.8</v>
      </c>
      <c r="W10" s="23">
        <f>W9-VLOOKUP($G10,$G$3:$Y$8,COLUMN(W3)-6,FALSE)</f>
        <v>-180</v>
      </c>
      <c r="X10" s="23">
        <f>X9-VLOOKUP($G10,$G$3:$Y$8,COLUMN(X3)-6,FALSE)</f>
        <v>-54</v>
      </c>
      <c r="Y10" s="23">
        <f>Y9-VLOOKUP($G10,$G$3:$Y$8,COLUMN(Y3)-6,FALSE)</f>
        <v>167.5</v>
      </c>
    </row>
    <row r="11" spans="1:47" ht="15.75" thickBot="1" x14ac:dyDescent="0.3"/>
    <row r="12" spans="1:47" ht="16.5" thickTop="1" thickBot="1" x14ac:dyDescent="0.3">
      <c r="A12" s="15"/>
      <c r="B12" s="15"/>
      <c r="C12" s="15"/>
      <c r="D12" s="15"/>
      <c r="E12" s="15"/>
      <c r="F12" s="15"/>
      <c r="G12" s="16" t="s">
        <v>43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71</v>
      </c>
      <c r="M12" s="11" t="s">
        <v>72</v>
      </c>
      <c r="N12" s="11" t="s">
        <v>65</v>
      </c>
      <c r="O12" s="11" t="s">
        <v>73</v>
      </c>
      <c r="P12" s="11" t="s">
        <v>74</v>
      </c>
      <c r="Q12" s="11" t="s">
        <v>75</v>
      </c>
      <c r="R12" s="11" t="s">
        <v>66</v>
      </c>
      <c r="S12" s="11" t="s">
        <v>67</v>
      </c>
      <c r="T12" s="11" t="s">
        <v>68</v>
      </c>
      <c r="U12" s="11" t="s">
        <v>69</v>
      </c>
      <c r="V12" s="11" t="s">
        <v>70</v>
      </c>
      <c r="W12" s="11" t="s">
        <v>77</v>
      </c>
      <c r="X12" s="11" t="s">
        <v>78</v>
      </c>
      <c r="Y12" s="11" t="s">
        <v>76</v>
      </c>
      <c r="Z12" s="17" t="s">
        <v>3</v>
      </c>
      <c r="AA12" s="17" t="s">
        <v>4</v>
      </c>
      <c r="AB12" s="17" t="s">
        <v>9</v>
      </c>
      <c r="AC12" s="17" t="s">
        <v>10</v>
      </c>
      <c r="AD12" s="13" t="s">
        <v>5</v>
      </c>
      <c r="AE12" s="7" t="s">
        <v>6</v>
      </c>
      <c r="AF12" s="7" t="s">
        <v>7</v>
      </c>
      <c r="AG12" s="7" t="s">
        <v>8</v>
      </c>
      <c r="AH12" s="7" t="s">
        <v>71</v>
      </c>
      <c r="AI12" s="7" t="s">
        <v>72</v>
      </c>
      <c r="AJ12" s="7" t="s">
        <v>65</v>
      </c>
      <c r="AK12" s="7" t="s">
        <v>73</v>
      </c>
      <c r="AL12" s="7" t="s">
        <v>74</v>
      </c>
      <c r="AM12" s="7" t="s">
        <v>75</v>
      </c>
      <c r="AN12" s="7" t="s">
        <v>66</v>
      </c>
      <c r="AO12" s="7" t="s">
        <v>67</v>
      </c>
      <c r="AP12" s="7" t="s">
        <v>68</v>
      </c>
      <c r="AQ12" s="7" t="s">
        <v>69</v>
      </c>
      <c r="AR12" s="7" t="s">
        <v>70</v>
      </c>
      <c r="AS12" s="7" t="s">
        <v>77</v>
      </c>
      <c r="AT12" s="7" t="s">
        <v>78</v>
      </c>
      <c r="AU12" s="7" t="s">
        <v>76</v>
      </c>
    </row>
    <row r="13" spans="1:47" ht="15.75" thickTop="1" x14ac:dyDescent="0.25">
      <c r="A13" s="2" t="s">
        <v>81</v>
      </c>
      <c r="B13" s="2">
        <v>40</v>
      </c>
      <c r="C13" s="2" t="str">
        <f>IF(IFERROR(VLOOKUP(A13, Servings!C:G, 3, FALSE), "")=0, "", IFERROR(VLOOKUP(A13, Servings!C:G, 3, FALSE), ""))</f>
        <v>g</v>
      </c>
      <c r="D13" s="2" t="str">
        <f>IF(IFERROR(VLOOKUP(A13, Servings!C:G, 5, FALSE), "")=0, "", IFERROR(VLOOKUP(A13, Servings!C:G, 5, FALSE), ""))</f>
        <v>cup</v>
      </c>
      <c r="E13" s="2" t="s">
        <v>28</v>
      </c>
      <c r="F13" s="5" t="s">
        <v>85</v>
      </c>
      <c r="G13" s="3">
        <f>B13/Z13</f>
        <v>1</v>
      </c>
      <c r="H13" s="4">
        <f>$G13*AD13</f>
        <v>150</v>
      </c>
      <c r="I13" s="4">
        <f>$G13*AE13</f>
        <v>3</v>
      </c>
      <c r="J13" s="4">
        <f>$G13*AF13</f>
        <v>27</v>
      </c>
      <c r="K13" s="4">
        <f>$G13*AG13</f>
        <v>5</v>
      </c>
      <c r="L13" s="4">
        <f t="shared" ref="L13:Y13" si="0">$G13*AH13</f>
        <v>0</v>
      </c>
      <c r="M13" s="4">
        <f t="shared" si="0"/>
        <v>20</v>
      </c>
      <c r="N13" s="4">
        <f t="shared" si="0"/>
        <v>4</v>
      </c>
      <c r="O13" s="4">
        <f t="shared" si="0"/>
        <v>1.7</v>
      </c>
      <c r="P13" s="4">
        <f t="shared" si="0"/>
        <v>1</v>
      </c>
      <c r="Q13" s="4">
        <f t="shared" si="0"/>
        <v>1</v>
      </c>
      <c r="R13" s="4">
        <f t="shared" si="0"/>
        <v>140</v>
      </c>
      <c r="S13" s="4">
        <f t="shared" si="0"/>
        <v>0.5</v>
      </c>
      <c r="T13" s="4">
        <f t="shared" si="0"/>
        <v>0</v>
      </c>
      <c r="U13" s="4">
        <f t="shared" si="0"/>
        <v>1</v>
      </c>
      <c r="V13" s="4">
        <f t="shared" si="0"/>
        <v>0</v>
      </c>
      <c r="W13" s="4">
        <f t="shared" si="0"/>
        <v>0</v>
      </c>
      <c r="X13" s="4">
        <f t="shared" si="0"/>
        <v>0</v>
      </c>
      <c r="Y13" s="4">
        <f t="shared" si="0"/>
        <v>0</v>
      </c>
      <c r="Z13" s="2">
        <f>VLOOKUP($A13,Servings!$C:$K,2,FALSE)</f>
        <v>40</v>
      </c>
      <c r="AA13" s="2" t="str">
        <f>VLOOKUP($A13,Servings!$C:$K,3,FALSE)</f>
        <v>g</v>
      </c>
      <c r="AB13" s="2">
        <f>VLOOKUP($A13,Servings!$C:$K,4,FALSE)</f>
        <v>0.5</v>
      </c>
      <c r="AC13" s="2" t="str">
        <f>VLOOKUP($A13,Servings!$C:$K,5,FALSE)</f>
        <v>cup</v>
      </c>
      <c r="AD13" s="14">
        <f>VLOOKUP($A13,Servings!$C:$K,6,FALSE)</f>
        <v>150</v>
      </c>
      <c r="AE13" s="2">
        <f>VLOOKUP($A13,Servings!$C:$K,7,FALSE)</f>
        <v>3</v>
      </c>
      <c r="AF13" s="2">
        <f>VLOOKUP($A13,Servings!$C:$K,8,FALSE)</f>
        <v>27</v>
      </c>
      <c r="AG13" s="2">
        <f>VLOOKUP($A13,Servings!$C:$K,9,FALSE)</f>
        <v>5</v>
      </c>
      <c r="AH13">
        <f>VLOOKUP($A13,Servings!$C:$Y,10,FALSE)</f>
        <v>0</v>
      </c>
      <c r="AI13">
        <f>VLOOKUP($A13,Servings!$C:$Y,11,FALSE)</f>
        <v>20</v>
      </c>
      <c r="AJ13">
        <f>VLOOKUP($A13,Servings!$C:$Y,12,FALSE)</f>
        <v>4</v>
      </c>
      <c r="AK13">
        <f>VLOOKUP($A13,Servings!$C:$Y,13,FALSE)</f>
        <v>1.7</v>
      </c>
      <c r="AL13">
        <f>VLOOKUP($A13,Servings!$C:$Y,14,FALSE)</f>
        <v>1</v>
      </c>
      <c r="AM13">
        <f>VLOOKUP($A13,Servings!$C:$Y,15,FALSE)</f>
        <v>1</v>
      </c>
      <c r="AN13">
        <f>VLOOKUP($A13,Servings!$C:$Y,16,FALSE)</f>
        <v>140</v>
      </c>
      <c r="AO13">
        <f>VLOOKUP($A13,Servings!$C:$Y,17,FALSE)</f>
        <v>0.5</v>
      </c>
      <c r="AP13">
        <f>VLOOKUP($A13,Servings!$C:$Y,18,FALSE)</f>
        <v>0</v>
      </c>
      <c r="AQ13">
        <f>VLOOKUP($A13,Servings!$C:$Y,19,FALSE)</f>
        <v>1</v>
      </c>
      <c r="AR13">
        <f>VLOOKUP($A13,Servings!$C:$Y,20,FALSE)</f>
        <v>0</v>
      </c>
      <c r="AS13">
        <f>VLOOKUP($A13,Servings!$C:$Y,21,FALSE)</f>
        <v>0</v>
      </c>
      <c r="AT13">
        <f>VLOOKUP($A13,Servings!$C:$Y,22,FALSE)</f>
        <v>0</v>
      </c>
      <c r="AU13">
        <f>VLOOKUP($A13,Servings!$C:$Y,23,FALSE)</f>
        <v>0</v>
      </c>
    </row>
    <row r="14" spans="1:47" x14ac:dyDescent="0.25">
      <c r="A14" s="2" t="s">
        <v>84</v>
      </c>
      <c r="B14" s="2">
        <v>12</v>
      </c>
      <c r="C14" s="2" t="str">
        <f>IF(IFERROR(VLOOKUP(A14, Servings!C:G, 3, FALSE), "")=0, "", IFERROR(VLOOKUP(A14, Servings!C:G, 3, FALSE), ""))</f>
        <v>g</v>
      </c>
      <c r="D14" s="2" t="str">
        <f>IF(IFERROR(VLOOKUP(A14, Servings!C:G, 5, FALSE), "")=0, "", IFERROR(VLOOKUP(A14, Servings!C:G, 5, FALSE), ""))</f>
        <v>tbsp</v>
      </c>
      <c r="E14" s="2" t="s">
        <v>28</v>
      </c>
      <c r="F14" s="5" t="s">
        <v>85</v>
      </c>
      <c r="G14" s="3">
        <f>B14/Z14</f>
        <v>1</v>
      </c>
      <c r="H14" s="4">
        <f t="shared" ref="H14:H15" si="1">$G14*AD14</f>
        <v>50</v>
      </c>
      <c r="I14" s="4">
        <f t="shared" ref="I14:I15" si="2">$G14*AE14</f>
        <v>1.5</v>
      </c>
      <c r="J14" s="4">
        <f t="shared" ref="J14:J15" si="3">$G14*AF14</f>
        <v>4</v>
      </c>
      <c r="K14" s="4">
        <f t="shared" ref="K14:K15" si="4">$G14*AG14</f>
        <v>6</v>
      </c>
      <c r="L14" s="4">
        <f t="shared" ref="L14:L15" si="5">$G14*AH14</f>
        <v>0</v>
      </c>
      <c r="M14" s="4">
        <f t="shared" ref="M14:M15" si="6">$G14*AI14</f>
        <v>0</v>
      </c>
      <c r="N14" s="4">
        <f t="shared" ref="N14:N15" si="7">$G14*AJ14</f>
        <v>2</v>
      </c>
      <c r="O14" s="4">
        <f t="shared" ref="O14:O15" si="8">$G14*AK14</f>
        <v>0.3</v>
      </c>
      <c r="P14" s="4">
        <f t="shared" ref="P14:P15" si="9">$G14*AL14</f>
        <v>0</v>
      </c>
      <c r="Q14" s="4">
        <f t="shared" ref="Q14:Q15" si="10">$G14*AM14</f>
        <v>0</v>
      </c>
      <c r="R14" s="4">
        <f t="shared" ref="R14:R15" si="11">$G14*AN14</f>
        <v>157</v>
      </c>
      <c r="S14" s="4">
        <f t="shared" ref="S14:S15" si="12">$G14*AO14</f>
        <v>0</v>
      </c>
      <c r="T14" s="4">
        <f t="shared" ref="T14:T15" si="13">$G14*AP14</f>
        <v>0</v>
      </c>
      <c r="U14" s="4">
        <f t="shared" ref="U14:U15" si="14">$G14*AQ14</f>
        <v>0.5</v>
      </c>
      <c r="V14" s="4">
        <f t="shared" ref="V14:V15" si="15">$G14*AR14</f>
        <v>0</v>
      </c>
      <c r="W14" s="4">
        <f t="shared" ref="W14:W15" si="16">$G14*AS14</f>
        <v>0</v>
      </c>
      <c r="X14" s="4">
        <f t="shared" ref="X14:X15" si="17">$G14*AT14</f>
        <v>0</v>
      </c>
      <c r="Y14" s="4">
        <f t="shared" ref="Y14:Y15" si="18">$G14*AU14</f>
        <v>0</v>
      </c>
      <c r="Z14" s="2">
        <f>VLOOKUP($A14,Servings!$C:$K,2,FALSE)</f>
        <v>12</v>
      </c>
      <c r="AA14" s="2" t="str">
        <f>VLOOKUP($A14,Servings!$C:$K,3,FALSE)</f>
        <v>g</v>
      </c>
      <c r="AB14" s="2">
        <f>VLOOKUP($A14,Servings!$C:$K,4,FALSE)</f>
        <v>2</v>
      </c>
      <c r="AC14" s="2" t="str">
        <f>VLOOKUP($A14,Servings!$C:$K,5,FALSE)</f>
        <v>tbsp</v>
      </c>
      <c r="AD14" s="14">
        <f>VLOOKUP($A14,Servings!$C:$K,6,FALSE)</f>
        <v>50</v>
      </c>
      <c r="AE14" s="2">
        <f>VLOOKUP($A14,Servings!$C:$K,7,FALSE)</f>
        <v>1.5</v>
      </c>
      <c r="AF14" s="2">
        <f>VLOOKUP($A14,Servings!$C:$K,8,FALSE)</f>
        <v>4</v>
      </c>
      <c r="AG14" s="2">
        <f>VLOOKUP($A14,Servings!$C:$K,9,FALSE)</f>
        <v>6</v>
      </c>
      <c r="AH14">
        <f>VLOOKUP($A14,Servings!$C:$Y,10,FALSE)</f>
        <v>0</v>
      </c>
      <c r="AI14">
        <f>VLOOKUP($A14,Servings!$C:$Y,11,FALSE)</f>
        <v>0</v>
      </c>
      <c r="AJ14">
        <f>VLOOKUP($A14,Servings!$C:$Y,12,FALSE)</f>
        <v>2</v>
      </c>
      <c r="AK14">
        <f>VLOOKUP($A14,Servings!$C:$Y,13,FALSE)</f>
        <v>0.3</v>
      </c>
      <c r="AL14">
        <f>VLOOKUP($A14,Servings!$C:$Y,14,FALSE)</f>
        <v>0</v>
      </c>
      <c r="AM14">
        <f>VLOOKUP($A14,Servings!$C:$Y,15,FALSE)</f>
        <v>0</v>
      </c>
      <c r="AN14">
        <f>VLOOKUP($A14,Servings!$C:$Y,16,FALSE)</f>
        <v>157</v>
      </c>
      <c r="AO14">
        <f>VLOOKUP($A14,Servings!$C:$Y,17,FALSE)</f>
        <v>0</v>
      </c>
      <c r="AP14">
        <f>VLOOKUP($A14,Servings!$C:$Y,18,FALSE)</f>
        <v>0</v>
      </c>
      <c r="AQ14">
        <f>VLOOKUP($A14,Servings!$C:$Y,19,FALSE)</f>
        <v>0.5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0</v>
      </c>
    </row>
    <row r="15" spans="1:47" x14ac:dyDescent="0.25">
      <c r="A15" s="2" t="s">
        <v>24</v>
      </c>
      <c r="B15" s="2">
        <v>12</v>
      </c>
      <c r="C15" s="2" t="str">
        <f>IF(IFERROR(VLOOKUP(A15, Servings!C:G, 3, FALSE), "")=0, "", IFERROR(VLOOKUP(A15, Servings!C:G, 3, FALSE), ""))</f>
        <v>oz</v>
      </c>
      <c r="D15" s="2" t="str">
        <f>IF(IFERROR(VLOOKUP(A15, Servings!C:G, 5, FALSE), "")=0, "", IFERROR(VLOOKUP(A15, Servings!C:G, 5, FALSE), ""))</f>
        <v>nuts</v>
      </c>
      <c r="E15" s="2" t="s">
        <v>31</v>
      </c>
      <c r="F15" s="5" t="s">
        <v>143</v>
      </c>
      <c r="G15" s="3">
        <f>B15/AB15</f>
        <v>0.5</v>
      </c>
      <c r="H15" s="4">
        <f t="shared" si="1"/>
        <v>80</v>
      </c>
      <c r="I15" s="4">
        <f t="shared" si="2"/>
        <v>7</v>
      </c>
      <c r="J15" s="4">
        <f t="shared" si="3"/>
        <v>3</v>
      </c>
      <c r="K15" s="4">
        <f t="shared" si="4"/>
        <v>3</v>
      </c>
      <c r="L15" s="4">
        <f t="shared" si="5"/>
        <v>0</v>
      </c>
      <c r="M15" s="4">
        <f t="shared" si="6"/>
        <v>35</v>
      </c>
      <c r="N15" s="4">
        <f t="shared" si="7"/>
        <v>1.5</v>
      </c>
      <c r="O15" s="4">
        <f t="shared" si="8"/>
        <v>0.55000000000000004</v>
      </c>
      <c r="P15" s="4">
        <f t="shared" si="9"/>
        <v>4.5</v>
      </c>
      <c r="Q15" s="4">
        <f t="shared" si="10"/>
        <v>1.75</v>
      </c>
      <c r="R15" s="4">
        <f t="shared" si="11"/>
        <v>100</v>
      </c>
      <c r="S15" s="4">
        <f t="shared" si="12"/>
        <v>0.5</v>
      </c>
      <c r="T15" s="4">
        <f t="shared" si="13"/>
        <v>0</v>
      </c>
      <c r="U15" s="4">
        <f t="shared" si="14"/>
        <v>0.5</v>
      </c>
      <c r="V15" s="4">
        <f t="shared" si="15"/>
        <v>0</v>
      </c>
      <c r="W15" s="4">
        <f t="shared" si="16"/>
        <v>0</v>
      </c>
      <c r="X15" s="4">
        <f t="shared" si="17"/>
        <v>0</v>
      </c>
      <c r="Y15" s="4">
        <f t="shared" si="18"/>
        <v>0</v>
      </c>
      <c r="Z15" s="2">
        <f>VLOOKUP($A15,Servings!$C:$K,2,FALSE)</f>
        <v>28.34</v>
      </c>
      <c r="AA15" s="2" t="str">
        <f>VLOOKUP($A15,Servings!$C:$K,3,FALSE)</f>
        <v>oz</v>
      </c>
      <c r="AB15" s="2">
        <f>VLOOKUP($A15,Servings!$C:$K,4,FALSE)</f>
        <v>24</v>
      </c>
      <c r="AC15" s="2" t="str">
        <f>VLOOKUP($A15,Servings!$C:$K,5,FALSE)</f>
        <v>nuts</v>
      </c>
      <c r="AD15" s="14">
        <f>VLOOKUP($A15,Servings!$C:$K,6,FALSE)</f>
        <v>160</v>
      </c>
      <c r="AE15" s="2">
        <f>VLOOKUP($A15,Servings!$C:$K,7,FALSE)</f>
        <v>14</v>
      </c>
      <c r="AF15" s="2">
        <f>VLOOKUP($A15,Servings!$C:$K,8,FALSE)</f>
        <v>6</v>
      </c>
      <c r="AG15" s="2">
        <f>VLOOKUP($A15,Servings!$C:$K,9,FALSE)</f>
        <v>6</v>
      </c>
      <c r="AH15">
        <f>VLOOKUP($A15,Servings!$C:$Y,10,FALSE)</f>
        <v>0</v>
      </c>
      <c r="AI15">
        <f>VLOOKUP($A15,Servings!$C:$Y,11,FALSE)</f>
        <v>70</v>
      </c>
      <c r="AJ15">
        <f>VLOOKUP($A15,Servings!$C:$Y,12,FALSE)</f>
        <v>3</v>
      </c>
      <c r="AK15">
        <f>VLOOKUP($A15,Servings!$C:$Y,13,FALSE)</f>
        <v>1.1000000000000001</v>
      </c>
      <c r="AL15">
        <f>VLOOKUP($A15,Servings!$C:$Y,14,FALSE)</f>
        <v>9</v>
      </c>
      <c r="AM15">
        <f>VLOOKUP($A15,Servings!$C:$Y,15,FALSE)</f>
        <v>3.5</v>
      </c>
      <c r="AN15">
        <f>VLOOKUP($A15,Servings!$C:$Y,16,FALSE)</f>
        <v>200</v>
      </c>
      <c r="AO15">
        <f>VLOOKUP($A15,Servings!$C:$Y,17,FALSE)</f>
        <v>1</v>
      </c>
      <c r="AP15">
        <f>VLOOKUP($A15,Servings!$C:$Y,18,FALSE)</f>
        <v>0</v>
      </c>
      <c r="AQ15">
        <f>VLOOKUP($A15,Servings!$C:$Y,19,FALSE)</f>
        <v>1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0</v>
      </c>
    </row>
    <row r="16" spans="1:47" x14ac:dyDescent="0.25">
      <c r="A16" s="2" t="s">
        <v>25</v>
      </c>
      <c r="B16" s="2">
        <v>2</v>
      </c>
      <c r="C16" s="2" t="str">
        <f>IF(IFERROR(VLOOKUP(A16, Servings!C:G, 3, FALSE), "")=0, "", IFERROR(VLOOKUP(A16, Servings!C:G, 3, FALSE), ""))</f>
        <v>g</v>
      </c>
      <c r="D16" s="2" t="str">
        <f>IF(IFERROR(VLOOKUP(A16, Servings!C:G, 5, FALSE), "")=0, "", IFERROR(VLOOKUP(A16, Servings!C:G, 5, FALSE), ""))</f>
        <v>scoops</v>
      </c>
      <c r="E16" s="2" t="s">
        <v>32</v>
      </c>
      <c r="F16" s="2"/>
      <c r="G16" s="3">
        <f>B16/AB16</f>
        <v>1</v>
      </c>
      <c r="H16" s="4">
        <f t="shared" ref="H16" si="19">$G16*AD16</f>
        <v>1280</v>
      </c>
      <c r="I16" s="4">
        <f t="shared" ref="I16" si="20">$G16*AE16</f>
        <v>10</v>
      </c>
      <c r="J16" s="4">
        <f t="shared" ref="J16" si="21">$G16*AF16</f>
        <v>252</v>
      </c>
      <c r="K16" s="4">
        <f t="shared" ref="K16" si="22">$G16*AG16</f>
        <v>52</v>
      </c>
      <c r="L16" s="4">
        <f t="shared" ref="L16" si="23">$G16*AH16</f>
        <v>0</v>
      </c>
      <c r="M16" s="4">
        <f t="shared" ref="M16" si="24">$G16*AI16</f>
        <v>0</v>
      </c>
      <c r="N16" s="4">
        <f t="shared" ref="N16" si="25">$G16*AJ16</f>
        <v>0</v>
      </c>
      <c r="O16" s="4">
        <f t="shared" ref="O16" si="26">$G16*AK16</f>
        <v>0</v>
      </c>
      <c r="P16" s="4">
        <f t="shared" ref="P16" si="27">$G16*AL16</f>
        <v>0</v>
      </c>
      <c r="Q16" s="4">
        <f t="shared" ref="Q16" si="28">$G16*AM16</f>
        <v>0</v>
      </c>
      <c r="R16" s="4">
        <f t="shared" ref="R16" si="29">$G16*AN16</f>
        <v>2210</v>
      </c>
      <c r="S16" s="4">
        <f t="shared" ref="S16" si="30">$G16*AO16</f>
        <v>3</v>
      </c>
      <c r="T16" s="4">
        <f t="shared" ref="T16" si="31">$G16*AP16</f>
        <v>510</v>
      </c>
      <c r="U16" s="4">
        <f t="shared" ref="U16" si="32">$G16*AQ16</f>
        <v>19</v>
      </c>
      <c r="V16" s="4">
        <f t="shared" ref="V16" si="33">$G16*AR16</f>
        <v>0</v>
      </c>
      <c r="W16" s="4">
        <f t="shared" ref="W16" si="34">$G16*AS16</f>
        <v>0</v>
      </c>
      <c r="X16" s="4">
        <f t="shared" ref="X16" si="35">$G16*AT16</f>
        <v>0</v>
      </c>
      <c r="Y16" s="4">
        <f t="shared" ref="Y16" si="36">$G16*AU16</f>
        <v>0</v>
      </c>
      <c r="Z16" s="2">
        <f>VLOOKUP($A16,Servings!$C:$K,2,FALSE)</f>
        <v>334</v>
      </c>
      <c r="AA16" s="2" t="str">
        <f>VLOOKUP($A16,Servings!$C:$K,3,FALSE)</f>
        <v>g</v>
      </c>
      <c r="AB16" s="2">
        <f>VLOOKUP($A16,Servings!$C:$K,4,FALSE)</f>
        <v>2</v>
      </c>
      <c r="AC16" s="2" t="str">
        <f>VLOOKUP($A16,Servings!$C:$K,5,FALSE)</f>
        <v>scoops</v>
      </c>
      <c r="AD16" s="14">
        <f>VLOOKUP($A16,Servings!$C:$K,6,FALSE)</f>
        <v>1280</v>
      </c>
      <c r="AE16" s="2">
        <f>VLOOKUP($A16,Servings!$C:$K,7,FALSE)</f>
        <v>10</v>
      </c>
      <c r="AF16" s="2">
        <f>VLOOKUP($A16,Servings!$C:$K,8,FALSE)</f>
        <v>252</v>
      </c>
      <c r="AG16" s="2">
        <f>VLOOKUP($A16,Servings!$C:$K,9,FALSE)</f>
        <v>52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</v>
      </c>
      <c r="AM16">
        <f>VLOOKUP($A16,Servings!$C:$Y,15,FALSE)</f>
        <v>0</v>
      </c>
      <c r="AN16">
        <f>VLOOKUP($A16,Servings!$C:$Y,16,FALSE)</f>
        <v>2210</v>
      </c>
      <c r="AO16">
        <f>VLOOKUP($A16,Servings!$C:$Y,17,FALSE)</f>
        <v>3</v>
      </c>
      <c r="AP16">
        <f>VLOOKUP($A16,Servings!$C:$Y,18,FALSE)</f>
        <v>510</v>
      </c>
      <c r="AQ16">
        <f>VLOOKUP($A16,Servings!$C:$Y,19,FALSE)</f>
        <v>19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x14ac:dyDescent="0.25">
      <c r="A17" s="2" t="s">
        <v>23</v>
      </c>
      <c r="B17" s="2">
        <v>90</v>
      </c>
      <c r="C17" s="2" t="str">
        <f>IF(IFERROR(VLOOKUP(A17, Servings!C:G, 3, FALSE), "")=0, "", IFERROR(VLOOKUP(A17, Servings!C:G, 3, FALSE), ""))</f>
        <v>g</v>
      </c>
      <c r="D17" s="2" t="str">
        <f>IF(IFERROR(VLOOKUP(A17, Servings!C:G, 5, FALSE), "")=0, "", IFERROR(VLOOKUP(A17, Servings!C:G, 5, FALSE), ""))</f>
        <v>cup</v>
      </c>
      <c r="E17" s="2" t="s">
        <v>28</v>
      </c>
      <c r="F17" s="5" t="s">
        <v>143</v>
      </c>
      <c r="G17" s="3">
        <f>B17/Z17</f>
        <v>0.4</v>
      </c>
      <c r="H17" s="4">
        <f t="shared" ref="H17:H19" si="37">$G17*AD17</f>
        <v>76</v>
      </c>
      <c r="I17" s="4">
        <f t="shared" ref="I17:I19" si="38">$G17*AE17</f>
        <v>0.8</v>
      </c>
      <c r="J17" s="4">
        <f t="shared" ref="J17:J19" si="39">$G17*AF17</f>
        <v>15.200000000000001</v>
      </c>
      <c r="K17" s="4">
        <f t="shared" ref="K17:K19" si="40">$G17*AG17</f>
        <v>2.4000000000000004</v>
      </c>
      <c r="L17" s="4">
        <f t="shared" ref="L17:L19" si="41">$G17*AH17</f>
        <v>0</v>
      </c>
      <c r="M17" s="4">
        <f t="shared" ref="M17:M19" si="42">$G17*AI17</f>
        <v>0</v>
      </c>
      <c r="N17" s="4">
        <f t="shared" ref="N17:N19" si="43">$G17*AJ17</f>
        <v>0</v>
      </c>
      <c r="O17" s="4">
        <f t="shared" ref="O17:O19" si="44">$G17*AK17</f>
        <v>0</v>
      </c>
      <c r="P17" s="4">
        <f t="shared" ref="P17:P19" si="45">$G17*AL17</f>
        <v>0</v>
      </c>
      <c r="Q17" s="4">
        <f t="shared" ref="Q17:Q19" si="46">$G17*AM17</f>
        <v>0</v>
      </c>
      <c r="R17" s="4">
        <f t="shared" ref="R17:R19" si="47">$G17*AN17</f>
        <v>120</v>
      </c>
      <c r="S17" s="4">
        <f t="shared" ref="S17:S19" si="48">$G17*AO17</f>
        <v>0.4</v>
      </c>
      <c r="T17" s="4">
        <f t="shared" ref="T17:T19" si="49">$G17*AP17</f>
        <v>42</v>
      </c>
      <c r="U17" s="4">
        <f t="shared" ref="U17:U19" si="50">$G17*AQ17</f>
        <v>12.8</v>
      </c>
      <c r="V17" s="4">
        <f t="shared" ref="V17:V19" si="51">$G17*AR17</f>
        <v>0</v>
      </c>
      <c r="W17" s="4">
        <f t="shared" ref="W17:W19" si="52">$G17*AS17</f>
        <v>0</v>
      </c>
      <c r="X17" s="4">
        <f t="shared" ref="X17:X19" si="53">$G17*AT17</f>
        <v>0</v>
      </c>
      <c r="Y17" s="4">
        <f t="shared" ref="Y17:Y19" si="54">$G17*AU17</f>
        <v>0</v>
      </c>
      <c r="Z17" s="2">
        <f>VLOOKUP($A17,Servings!$C:$K,2,FALSE)</f>
        <v>225</v>
      </c>
      <c r="AA17" s="2" t="str">
        <f>VLOOKUP($A17,Servings!$C:$K,3,FALSE)</f>
        <v>g</v>
      </c>
      <c r="AB17" s="2">
        <f>VLOOKUP($A17,Servings!$C:$K,4,FALSE)</f>
        <v>1</v>
      </c>
      <c r="AC17" s="2" t="str">
        <f>VLOOKUP($A17,Servings!$C:$K,5,FALSE)</f>
        <v>cup</v>
      </c>
      <c r="AD17" s="14">
        <f>VLOOKUP($A17,Servings!$C:$K,6,FALSE)</f>
        <v>190</v>
      </c>
      <c r="AE17" s="2">
        <f>VLOOKUP($A17,Servings!$C:$K,7,FALSE)</f>
        <v>2</v>
      </c>
      <c r="AF17" s="2">
        <f>VLOOKUP($A17,Servings!$C:$K,8,FALSE)</f>
        <v>38</v>
      </c>
      <c r="AG17" s="2">
        <f>VLOOKUP($A17,Servings!$C:$K,9,FALSE)</f>
        <v>6</v>
      </c>
      <c r="AH17">
        <f>VLOOKUP($A17,Servings!$C:$Y,10,FALSE)</f>
        <v>0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300</v>
      </c>
      <c r="AO17">
        <f>VLOOKUP($A17,Servings!$C:$Y,17,FALSE)</f>
        <v>1</v>
      </c>
      <c r="AP17">
        <f>VLOOKUP($A17,Servings!$C:$Y,18,FALSE)</f>
        <v>105</v>
      </c>
      <c r="AQ17">
        <f>VLOOKUP($A17,Servings!$C:$Y,19,FALSE)</f>
        <v>32</v>
      </c>
      <c r="AR17">
        <f>VLOOKUP($A17,Servings!$C:$Y,20,FALSE)</f>
        <v>0</v>
      </c>
      <c r="AS17">
        <f>VLOOKUP($A17,Servings!$C:$Y,21,FALSE)</f>
        <v>0</v>
      </c>
      <c r="AT17">
        <f>VLOOKUP($A17,Servings!$C:$Y,22,FALSE)</f>
        <v>0</v>
      </c>
      <c r="AU17">
        <f>VLOOKUP($A17,Servings!$C:$Y,23,FALSE)</f>
        <v>0</v>
      </c>
    </row>
    <row r="18" spans="1:47" x14ac:dyDescent="0.25">
      <c r="A18" s="2" t="s">
        <v>127</v>
      </c>
      <c r="B18" s="2">
        <v>27</v>
      </c>
      <c r="C18" s="2" t="str">
        <f>IF(IFERROR(VLOOKUP(A18, Servings!C:G, 3, FALSE), "")=0, "", IFERROR(VLOOKUP(A18, Servings!C:G, 3, FALSE), ""))</f>
        <v>g</v>
      </c>
      <c r="D18" s="2" t="str">
        <f>IF(IFERROR(VLOOKUP(A18, Servings!C:G, 5, FALSE), "")=0, "", IFERROR(VLOOKUP(A18, Servings!C:G, 5, FALSE), ""))</f>
        <v>bar</v>
      </c>
      <c r="E18" s="2" t="s">
        <v>28</v>
      </c>
      <c r="F18" s="5" t="s">
        <v>85</v>
      </c>
      <c r="G18" s="3">
        <f>B18/Z18</f>
        <v>1.2857142857142858</v>
      </c>
      <c r="H18" s="4">
        <f t="shared" si="37"/>
        <v>128.57142857142858</v>
      </c>
      <c r="I18" s="4">
        <f t="shared" si="38"/>
        <v>4.5</v>
      </c>
      <c r="J18" s="4">
        <f t="shared" si="39"/>
        <v>24.428571428571431</v>
      </c>
      <c r="K18" s="4">
        <f t="shared" si="40"/>
        <v>2.5714285714285716</v>
      </c>
      <c r="L18" s="4">
        <f t="shared" si="41"/>
        <v>7.7142857142857153</v>
      </c>
      <c r="M18" s="4">
        <f t="shared" si="42"/>
        <v>0</v>
      </c>
      <c r="N18" s="4">
        <f t="shared" si="43"/>
        <v>1.2857142857142858</v>
      </c>
      <c r="O18" s="4">
        <f t="shared" si="44"/>
        <v>0</v>
      </c>
      <c r="P18" s="4">
        <f t="shared" si="45"/>
        <v>3.8571428571428577</v>
      </c>
      <c r="Q18" s="4">
        <f t="shared" si="46"/>
        <v>1.2857142857142858</v>
      </c>
      <c r="R18" s="4">
        <f t="shared" si="47"/>
        <v>0</v>
      </c>
      <c r="S18" s="4">
        <f t="shared" si="48"/>
        <v>0</v>
      </c>
      <c r="T18" s="4">
        <f t="shared" si="49"/>
        <v>90</v>
      </c>
      <c r="U18" s="4">
        <f t="shared" si="50"/>
        <v>9</v>
      </c>
      <c r="V18" s="4">
        <f t="shared" si="51"/>
        <v>0</v>
      </c>
      <c r="W18" s="4">
        <f t="shared" si="52"/>
        <v>0</v>
      </c>
      <c r="X18" s="4">
        <f t="shared" si="53"/>
        <v>0</v>
      </c>
      <c r="Y18" s="4">
        <f t="shared" si="54"/>
        <v>0</v>
      </c>
      <c r="Z18" s="2">
        <f>VLOOKUP($A18,Servings!$C:$K,2,FALSE)</f>
        <v>21</v>
      </c>
      <c r="AA18" s="2" t="str">
        <f>VLOOKUP($A18,Servings!$C:$K,3,FALSE)</f>
        <v>g</v>
      </c>
      <c r="AB18" s="2">
        <f>VLOOKUP($A18,Servings!$C:$K,4,FALSE)</f>
        <v>1</v>
      </c>
      <c r="AC18" s="2" t="str">
        <f>VLOOKUP($A18,Servings!$C:$K,5,FALSE)</f>
        <v>bar</v>
      </c>
      <c r="AD18" s="14">
        <f>VLOOKUP($A18,Servings!$C:$K,6,FALSE)</f>
        <v>100</v>
      </c>
      <c r="AE18" s="2">
        <f>VLOOKUP($A18,Servings!$C:$K,7,FALSE)</f>
        <v>3.5</v>
      </c>
      <c r="AF18" s="2">
        <f>VLOOKUP($A18,Servings!$C:$K,8,FALSE)</f>
        <v>19</v>
      </c>
      <c r="AG18" s="2">
        <f>VLOOKUP($A18,Servings!$C:$K,9,FALSE)</f>
        <v>2</v>
      </c>
      <c r="AH18">
        <f>VLOOKUP($A18,Servings!$C:$Y,10,FALSE)</f>
        <v>6</v>
      </c>
      <c r="AI18">
        <f>VLOOKUP($A18,Servings!$C:$Y,11,FALSE)</f>
        <v>0</v>
      </c>
      <c r="AJ18">
        <f>VLOOKUP($A18,Servings!$C:$Y,12,FALSE)</f>
        <v>1</v>
      </c>
      <c r="AK18">
        <f>VLOOKUP($A18,Servings!$C:$Y,13,FALSE)</f>
        <v>0</v>
      </c>
      <c r="AL18">
        <f>VLOOKUP($A18,Servings!$C:$Y,14,FALSE)</f>
        <v>3</v>
      </c>
      <c r="AM18">
        <f>VLOOKUP($A18,Servings!$C:$Y,15,FALSE)</f>
        <v>1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70</v>
      </c>
      <c r="AQ18">
        <f>VLOOKUP($A18,Servings!$C:$Y,19,FALSE)</f>
        <v>7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x14ac:dyDescent="0.25">
      <c r="A19" s="2" t="s">
        <v>46</v>
      </c>
      <c r="B19" s="2">
        <v>2</v>
      </c>
      <c r="C19" s="2" t="str">
        <f>IF(IFERROR(VLOOKUP(A19, Servings!C:G, 3, FALSE), "")=0, "", IFERROR(VLOOKUP(A19, Servings!C:G, 3, FALSE), ""))</f>
        <v>g</v>
      </c>
      <c r="D19" s="2" t="str">
        <f>IF(IFERROR(VLOOKUP(A19, Servings!C:G, 5, FALSE), "")=0, "", IFERROR(VLOOKUP(A19, Servings!C:G, 5, FALSE), ""))</f>
        <v>stick</v>
      </c>
      <c r="E19" s="2" t="s">
        <v>47</v>
      </c>
      <c r="F19" s="5" t="s">
        <v>85</v>
      </c>
      <c r="G19" s="3">
        <f>B19/AB19</f>
        <v>2</v>
      </c>
      <c r="H19" s="4">
        <f t="shared" si="37"/>
        <v>160</v>
      </c>
      <c r="I19" s="4">
        <f t="shared" si="38"/>
        <v>12</v>
      </c>
      <c r="J19" s="4">
        <f t="shared" si="39"/>
        <v>0</v>
      </c>
      <c r="K19" s="4">
        <f t="shared" si="40"/>
        <v>14</v>
      </c>
      <c r="L19" s="4">
        <f t="shared" si="41"/>
        <v>0</v>
      </c>
      <c r="M19" s="4">
        <f t="shared" si="42"/>
        <v>0</v>
      </c>
      <c r="N19" s="4">
        <f t="shared" si="43"/>
        <v>0</v>
      </c>
      <c r="O19" s="4">
        <f t="shared" si="44"/>
        <v>0</v>
      </c>
      <c r="P19" s="4">
        <f t="shared" si="45"/>
        <v>3</v>
      </c>
      <c r="Q19" s="4">
        <f t="shared" si="46"/>
        <v>0</v>
      </c>
      <c r="R19" s="4">
        <f t="shared" si="47"/>
        <v>70</v>
      </c>
      <c r="S19" s="4">
        <f t="shared" si="48"/>
        <v>6</v>
      </c>
      <c r="T19" s="4">
        <f t="shared" si="49"/>
        <v>380</v>
      </c>
      <c r="U19" s="4">
        <f t="shared" si="50"/>
        <v>0</v>
      </c>
      <c r="V19" s="4">
        <f t="shared" si="51"/>
        <v>0</v>
      </c>
      <c r="W19" s="4">
        <f t="shared" si="52"/>
        <v>0</v>
      </c>
      <c r="X19" s="4">
        <f t="shared" si="53"/>
        <v>0</v>
      </c>
      <c r="Y19" s="4">
        <f t="shared" si="54"/>
        <v>0</v>
      </c>
      <c r="Z19" s="2">
        <f>VLOOKUP($A19,Servings!$C:$K,2,FALSE)</f>
        <v>28</v>
      </c>
      <c r="AA19" s="2" t="str">
        <f>VLOOKUP($A19,Servings!$C:$K,3,FALSE)</f>
        <v>g</v>
      </c>
      <c r="AB19" s="2">
        <f>VLOOKUP($A19,Servings!$C:$K,4,FALSE)</f>
        <v>1</v>
      </c>
      <c r="AC19" s="2" t="str">
        <f>VLOOKUP($A19,Servings!$C:$K,5,FALSE)</f>
        <v>stick</v>
      </c>
      <c r="AD19" s="14">
        <f>VLOOKUP($A19,Servings!$C:$K,6,FALSE)</f>
        <v>80</v>
      </c>
      <c r="AE19" s="2">
        <f>VLOOKUP($A19,Servings!$C:$K,7,FALSE)</f>
        <v>6</v>
      </c>
      <c r="AF19" s="2">
        <f>VLOOKUP($A19,Servings!$C:$K,8,FALSE)</f>
        <v>0</v>
      </c>
      <c r="AG19" s="2">
        <f>VLOOKUP($A19,Servings!$C:$K,9,FALSE)</f>
        <v>7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0</v>
      </c>
      <c r="AK19">
        <f>VLOOKUP($A19,Servings!$C:$Y,13,FALSE)</f>
        <v>0</v>
      </c>
      <c r="AL19">
        <f>VLOOKUP($A19,Servings!$C:$Y,14,FALSE)</f>
        <v>1.5</v>
      </c>
      <c r="AM19">
        <f>VLOOKUP($A19,Servings!$C:$Y,15,FALSE)</f>
        <v>0</v>
      </c>
      <c r="AN19">
        <f>VLOOKUP($A19,Servings!$C:$Y,16,FALSE)</f>
        <v>35</v>
      </c>
      <c r="AO19">
        <f>VLOOKUP($A19,Servings!$C:$Y,17,FALSE)</f>
        <v>3</v>
      </c>
      <c r="AP19">
        <f>VLOOKUP($A19,Servings!$C:$Y,18,FALSE)</f>
        <v>190</v>
      </c>
      <c r="AQ19">
        <f>VLOOKUP($A19,Servings!$C:$Y,19,FALSE)</f>
        <v>0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x14ac:dyDescent="0.25">
      <c r="A20" s="2" t="s">
        <v>35</v>
      </c>
      <c r="B20" s="2">
        <v>100</v>
      </c>
      <c r="C20" s="2" t="str">
        <f>IF(IFERROR(VLOOKUP(A20, Servings!C:G, 3, FALSE), "")=0, "", IFERROR(VLOOKUP(A20, Servings!C:G, 3, FALSE), ""))</f>
        <v>g</v>
      </c>
      <c r="D20" s="2" t="str">
        <f>IF(IFERROR(VLOOKUP(A20, Servings!C:G, 5, FALSE), "")=0, "", IFERROR(VLOOKUP(A20, Servings!C:G, 5, FALSE), ""))</f>
        <v/>
      </c>
      <c r="E20" s="2" t="s">
        <v>28</v>
      </c>
      <c r="F20" s="5" t="s">
        <v>86</v>
      </c>
      <c r="G20" s="3">
        <f>B20/Z20</f>
        <v>0.55555555555555558</v>
      </c>
      <c r="H20" s="4">
        <f t="shared" ref="H20:H23" si="55">$G20*AD20</f>
        <v>118.51851851851852</v>
      </c>
      <c r="I20" s="4">
        <f t="shared" ref="I20:I23" si="56">$G20*AE20</f>
        <v>0</v>
      </c>
      <c r="J20" s="4">
        <f t="shared" ref="J20:J23" si="57">$G20*AF20</f>
        <v>26.666666666666668</v>
      </c>
      <c r="K20" s="4">
        <f t="shared" ref="K20:K23" si="58">$G20*AG20</f>
        <v>2.2222222222222223</v>
      </c>
      <c r="L20" s="4">
        <f t="shared" ref="L20:L23" si="59">$G20*AH20</f>
        <v>0</v>
      </c>
      <c r="M20" s="4">
        <f t="shared" ref="M20:M23" si="60">$G20*AI20</f>
        <v>1.4814814814814814</v>
      </c>
      <c r="N20" s="4">
        <f t="shared" ref="N20:N23" si="61">$G20*AJ20</f>
        <v>0</v>
      </c>
      <c r="O20" s="4">
        <f t="shared" ref="O20:O23" si="62">$G20*AK20</f>
        <v>0</v>
      </c>
      <c r="P20" s="4">
        <f t="shared" ref="P20:P23" si="63">$G20*AL20</f>
        <v>0</v>
      </c>
      <c r="Q20" s="4">
        <f t="shared" ref="Q20:Q23" si="64">$G20*AM20</f>
        <v>0</v>
      </c>
      <c r="R20" s="4">
        <f t="shared" ref="R20:R23" si="65">$G20*AN20</f>
        <v>0</v>
      </c>
      <c r="S20" s="4">
        <f t="shared" ref="S20:S23" si="66">$G20*AO20</f>
        <v>0</v>
      </c>
      <c r="T20" s="4">
        <f t="shared" ref="T20:T23" si="67">$G20*AP20</f>
        <v>0</v>
      </c>
      <c r="U20" s="4">
        <f t="shared" ref="U20:U23" si="68">$G20*AQ20</f>
        <v>0</v>
      </c>
      <c r="V20" s="4">
        <f t="shared" ref="V20:V23" si="69">$G20*AR20</f>
        <v>0</v>
      </c>
      <c r="W20" s="4">
        <f t="shared" ref="W20:W23" si="70">$G20*AS20</f>
        <v>0</v>
      </c>
      <c r="X20" s="4">
        <f t="shared" ref="X20:X23" si="71">$G20*AT20</f>
        <v>0</v>
      </c>
      <c r="Y20" s="4">
        <f t="shared" ref="Y20:Y23" si="72">$G20*AU20</f>
        <v>0</v>
      </c>
      <c r="Z20" s="2">
        <f>VLOOKUP($A20,Servings!$C:$K,2,FALSE)</f>
        <v>180</v>
      </c>
      <c r="AA20" s="2" t="str">
        <f>VLOOKUP($A20,Servings!$C:$K,3,FALSE)</f>
        <v>g</v>
      </c>
      <c r="AB20" s="2">
        <f>VLOOKUP($A20,Servings!$C:$K,4,FALSE)</f>
        <v>0</v>
      </c>
      <c r="AC20" s="2">
        <f>VLOOKUP($A20,Servings!$C:$K,5,FALSE)</f>
        <v>0</v>
      </c>
      <c r="AD20" s="14">
        <f>VLOOKUP($A20,Servings!$C:$K,6,FALSE)</f>
        <v>213.33333333333331</v>
      </c>
      <c r="AE20" s="2">
        <f>VLOOKUP($A20,Servings!$C:$K,7,FALSE)</f>
        <v>0</v>
      </c>
      <c r="AF20" s="2">
        <f>VLOOKUP($A20,Servings!$C:$K,8,FALSE)</f>
        <v>48</v>
      </c>
      <c r="AG20" s="2">
        <f>VLOOKUP($A20,Servings!$C:$K,9,FALSE)</f>
        <v>4</v>
      </c>
      <c r="AH20">
        <f>VLOOKUP($A20,Servings!$C:$Y,10,FALSE)</f>
        <v>0</v>
      </c>
      <c r="AI20">
        <f>VLOOKUP($A20,Servings!$C:$Y,11,FALSE)</f>
        <v>2.6666666666666665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0</v>
      </c>
      <c r="AO20">
        <f>VLOOKUP($A20,Servings!$C:$Y,17,FALSE)</f>
        <v>0</v>
      </c>
      <c r="AP20">
        <f>VLOOKUP($A20,Servings!$C:$Y,18,FALSE)</f>
        <v>0</v>
      </c>
      <c r="AQ20">
        <f>VLOOKUP($A20,Servings!$C:$Y,19,FALSE)</f>
        <v>0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x14ac:dyDescent="0.25">
      <c r="A21" s="2" t="s">
        <v>142</v>
      </c>
      <c r="B21" s="2">
        <v>320</v>
      </c>
      <c r="C21" s="2" t="str">
        <f>IF(IFERROR(VLOOKUP(A21, Servings!C:G, 3, FALSE), "")=0, "", IFERROR(VLOOKUP(A21, Servings!C:G, 3, FALSE), ""))</f>
        <v>g</v>
      </c>
      <c r="D21" s="2" t="str">
        <f>IF(IFERROR(VLOOKUP(A21, Servings!C:G, 5, FALSE), "")=0, "", IFERROR(VLOOKUP(A21, Servings!C:G, 5, FALSE), ""))</f>
        <v/>
      </c>
      <c r="E21" s="2" t="s">
        <v>28</v>
      </c>
      <c r="F21" s="5" t="s">
        <v>86</v>
      </c>
      <c r="G21" s="3">
        <f>B21/Z21</f>
        <v>0.91428571428571426</v>
      </c>
      <c r="H21" s="4">
        <f t="shared" si="55"/>
        <v>457.14285714285711</v>
      </c>
      <c r="I21" s="4">
        <f t="shared" si="56"/>
        <v>11.885714285714286</v>
      </c>
      <c r="J21" s="4">
        <f t="shared" si="57"/>
        <v>28.342857142857142</v>
      </c>
      <c r="K21" s="4">
        <f t="shared" si="58"/>
        <v>57.6</v>
      </c>
      <c r="L21" s="4">
        <f t="shared" si="59"/>
        <v>0</v>
      </c>
      <c r="M21" s="4">
        <f t="shared" si="60"/>
        <v>0</v>
      </c>
      <c r="N21" s="4">
        <f t="shared" si="61"/>
        <v>0</v>
      </c>
      <c r="O21" s="4">
        <f t="shared" si="62"/>
        <v>0</v>
      </c>
      <c r="P21" s="4">
        <f t="shared" si="63"/>
        <v>0</v>
      </c>
      <c r="Q21" s="4">
        <f t="shared" si="64"/>
        <v>0</v>
      </c>
      <c r="R21" s="4">
        <f t="shared" si="65"/>
        <v>0</v>
      </c>
      <c r="S21" s="4">
        <f t="shared" si="66"/>
        <v>0</v>
      </c>
      <c r="T21" s="4">
        <f t="shared" si="67"/>
        <v>0</v>
      </c>
      <c r="U21" s="4">
        <f t="shared" si="68"/>
        <v>0</v>
      </c>
      <c r="V21" s="4">
        <f t="shared" si="69"/>
        <v>0</v>
      </c>
      <c r="W21" s="4">
        <f t="shared" si="70"/>
        <v>0</v>
      </c>
      <c r="X21" s="4">
        <f t="shared" si="71"/>
        <v>0</v>
      </c>
      <c r="Y21" s="4">
        <f t="shared" si="72"/>
        <v>0</v>
      </c>
      <c r="Z21" s="2">
        <f>VLOOKUP($A21,Servings!$C:$K,2,FALSE)</f>
        <v>350</v>
      </c>
      <c r="AA21" s="2" t="str">
        <f>VLOOKUP($A21,Servings!$C:$K,3,FALSE)</f>
        <v>g</v>
      </c>
      <c r="AB21" s="2">
        <f>VLOOKUP($A21,Servings!$C:$K,4,FALSE)</f>
        <v>0</v>
      </c>
      <c r="AC21" s="2">
        <f>VLOOKUP($A21,Servings!$C:$K,5,FALSE)</f>
        <v>0</v>
      </c>
      <c r="AD21" s="14">
        <f>VLOOKUP($A21,Servings!$C:$K,6,FALSE)</f>
        <v>500</v>
      </c>
      <c r="AE21" s="2">
        <f>VLOOKUP($A21,Servings!$C:$K,7,FALSE)</f>
        <v>13</v>
      </c>
      <c r="AF21" s="2">
        <f>VLOOKUP($A21,Servings!$C:$K,8,FALSE)</f>
        <v>31</v>
      </c>
      <c r="AG21" s="2">
        <f>VLOOKUP($A21,Servings!$C:$K,9,FALSE)</f>
        <v>63</v>
      </c>
      <c r="AH21">
        <f>VLOOKUP($A21,Servings!$C:$Y,10,FALSE)</f>
        <v>0</v>
      </c>
      <c r="AI21">
        <f>VLOOKUP($A21,Servings!$C:$Y,11,FALSE)</f>
        <v>0</v>
      </c>
      <c r="AJ21">
        <f>VLOOKUP($A21,Servings!$C:$Y,12,FALSE)</f>
        <v>0</v>
      </c>
      <c r="AK21">
        <f>VLOOKUP($A21,Servings!$C:$Y,13,FALSE)</f>
        <v>0</v>
      </c>
      <c r="AL21">
        <f>VLOOKUP($A21,Servings!$C:$Y,14,FALSE)</f>
        <v>0</v>
      </c>
      <c r="AM21">
        <f>VLOOKUP($A21,Servings!$C:$Y,15,FALSE)</f>
        <v>0</v>
      </c>
      <c r="AN21">
        <f>VLOOKUP($A21,Servings!$C:$Y,16,FALSE)</f>
        <v>0</v>
      </c>
      <c r="AO21">
        <f>VLOOKUP($A21,Servings!$C:$Y,17,FALSE)</f>
        <v>0</v>
      </c>
      <c r="AP21">
        <f>VLOOKUP($A21,Servings!$C:$Y,18,FALSE)</f>
        <v>0</v>
      </c>
      <c r="AQ21">
        <f>VLOOKUP($A21,Servings!$C:$Y,19,FALSE)</f>
        <v>0</v>
      </c>
      <c r="AR21">
        <f>VLOOKUP($A21,Servings!$C:$Y,20,FALSE)</f>
        <v>0</v>
      </c>
      <c r="AS21">
        <f>VLOOKUP($A21,Servings!$C:$Y,21,FALSE)</f>
        <v>0</v>
      </c>
      <c r="AT21">
        <f>VLOOKUP($A21,Servings!$C:$Y,22,FALSE)</f>
        <v>0</v>
      </c>
      <c r="AU21">
        <f>VLOOKUP($A21,Servings!$C:$Y,23,FALSE)</f>
        <v>0</v>
      </c>
    </row>
    <row r="22" spans="1:47" x14ac:dyDescent="0.25">
      <c r="A22" s="2" t="s">
        <v>26</v>
      </c>
      <c r="B22" s="2">
        <v>2</v>
      </c>
      <c r="C22" s="2" t="str">
        <f>IF(IFERROR(VLOOKUP(A22, Servings!C:G, 3, FALSE), "")=0, "", IFERROR(VLOOKUP(A22, Servings!C:G, 3, FALSE), ""))</f>
        <v/>
      </c>
      <c r="D22" s="2" t="str">
        <f>IF(IFERROR(VLOOKUP(A22, Servings!C:G, 5, FALSE), "")=0, "", IFERROR(VLOOKUP(A22, Servings!C:G, 5, FALSE), ""))</f>
        <v>gummies</v>
      </c>
      <c r="E22" s="2" t="s">
        <v>33</v>
      </c>
      <c r="F22" s="2"/>
      <c r="G22" s="3">
        <f>B22/AB22</f>
        <v>1</v>
      </c>
      <c r="H22" s="4">
        <f t="shared" si="55"/>
        <v>15</v>
      </c>
      <c r="I22" s="4">
        <f t="shared" si="56"/>
        <v>0</v>
      </c>
      <c r="J22" s="4">
        <f t="shared" si="57"/>
        <v>4</v>
      </c>
      <c r="K22" s="4">
        <f t="shared" si="58"/>
        <v>0</v>
      </c>
      <c r="L22" s="4">
        <f t="shared" si="59"/>
        <v>3</v>
      </c>
      <c r="M22" s="4">
        <f t="shared" si="60"/>
        <v>3</v>
      </c>
      <c r="N22" s="4">
        <f t="shared" si="61"/>
        <v>0</v>
      </c>
      <c r="O22" s="4">
        <f t="shared" si="62"/>
        <v>0</v>
      </c>
      <c r="P22" s="4">
        <f t="shared" si="63"/>
        <v>0</v>
      </c>
      <c r="Q22" s="4">
        <f t="shared" si="64"/>
        <v>0</v>
      </c>
      <c r="R22" s="4">
        <f t="shared" si="65"/>
        <v>0</v>
      </c>
      <c r="S22" s="4">
        <f t="shared" si="66"/>
        <v>0</v>
      </c>
      <c r="T22" s="4">
        <f t="shared" si="67"/>
        <v>10</v>
      </c>
      <c r="U22" s="4">
        <f t="shared" si="68"/>
        <v>3</v>
      </c>
      <c r="V22" s="4">
        <f t="shared" si="69"/>
        <v>0</v>
      </c>
      <c r="W22" s="4">
        <f t="shared" si="70"/>
        <v>720</v>
      </c>
      <c r="X22" s="4">
        <f t="shared" si="71"/>
        <v>36</v>
      </c>
      <c r="Y22" s="4">
        <f t="shared" si="72"/>
        <v>25</v>
      </c>
      <c r="Z22" s="2">
        <f>VLOOKUP($A22,Servings!$C:$K,2,FALSE)</f>
        <v>0</v>
      </c>
      <c r="AA22" s="2">
        <f>VLOOKUP($A22,Servings!$C:$K,3,FALSE)</f>
        <v>0</v>
      </c>
      <c r="AB22" s="2">
        <f>VLOOKUP($A22,Servings!$C:$K,4,FALSE)</f>
        <v>2</v>
      </c>
      <c r="AC22" s="2" t="str">
        <f>VLOOKUP($A22,Servings!$C:$K,5,FALSE)</f>
        <v>gummies</v>
      </c>
      <c r="AD22" s="14">
        <f>VLOOKUP($A22,Servings!$C:$K,6,FALSE)</f>
        <v>15</v>
      </c>
      <c r="AE22" s="2">
        <f>VLOOKUP($A22,Servings!$C:$K,7,FALSE)</f>
        <v>0</v>
      </c>
      <c r="AF22" s="2">
        <f>VLOOKUP($A22,Servings!$C:$K,8,FALSE)</f>
        <v>4</v>
      </c>
      <c r="AG22" s="2">
        <f>VLOOKUP($A22,Servings!$C:$K,9,FALSE)</f>
        <v>0</v>
      </c>
      <c r="AH22">
        <f>VLOOKUP($A22,Servings!$C:$Y,10,FALSE)</f>
        <v>3</v>
      </c>
      <c r="AI22">
        <f>VLOOKUP($A22,Servings!$C:$Y,11,FALSE)</f>
        <v>3</v>
      </c>
      <c r="AJ22">
        <f>VLOOKUP($A22,Servings!$C:$Y,12,FALSE)</f>
        <v>0</v>
      </c>
      <c r="AK22">
        <f>VLOOKUP($A22,Servings!$C:$Y,13,FALSE)</f>
        <v>0</v>
      </c>
      <c r="AL22">
        <f>VLOOKUP($A22,Servings!$C:$Y,14,FALSE)</f>
        <v>0</v>
      </c>
      <c r="AM22">
        <f>VLOOKUP($A22,Servings!$C:$Y,15,FALSE)</f>
        <v>0</v>
      </c>
      <c r="AN22">
        <f>VLOOKUP($A22,Servings!$C:$Y,16,FALSE)</f>
        <v>0</v>
      </c>
      <c r="AO22">
        <f>VLOOKUP($A22,Servings!$C:$Y,17,FALSE)</f>
        <v>0</v>
      </c>
      <c r="AP22">
        <f>VLOOKUP($A22,Servings!$C:$Y,18,FALSE)</f>
        <v>10</v>
      </c>
      <c r="AQ22">
        <f>VLOOKUP($A22,Servings!$C:$Y,19,FALSE)</f>
        <v>3</v>
      </c>
      <c r="AR22">
        <f>VLOOKUP($A22,Servings!$C:$Y,20,FALSE)</f>
        <v>0</v>
      </c>
      <c r="AS22">
        <f>VLOOKUP($A22,Servings!$C:$Y,21,FALSE)</f>
        <v>720</v>
      </c>
      <c r="AT22">
        <f>VLOOKUP($A22,Servings!$C:$Y,22,FALSE)</f>
        <v>36</v>
      </c>
      <c r="AU22">
        <f>VLOOKUP($A22,Servings!$C:$Y,23,FALSE)</f>
        <v>25</v>
      </c>
    </row>
    <row r="23" spans="1:47" x14ac:dyDescent="0.25">
      <c r="A23" s="2" t="s">
        <v>148</v>
      </c>
      <c r="B23" s="2">
        <v>2</v>
      </c>
      <c r="C23" s="2" t="str">
        <f>IF(IFERROR(VLOOKUP(A23, Servings!C:G, 3, FALSE), "")=0, "", IFERROR(VLOOKUP(A23, Servings!C:G, 3, FALSE), ""))</f>
        <v>g</v>
      </c>
      <c r="D23" s="2" t="str">
        <f>IF(IFERROR(VLOOKUP(A23, Servings!C:G, 5, FALSE), "")=0, "", IFERROR(VLOOKUP(A23, Servings!C:G, 5, FALSE), ""))</f>
        <v>tsp</v>
      </c>
      <c r="E23" s="2" t="s">
        <v>149</v>
      </c>
      <c r="F23" s="2"/>
      <c r="G23" s="3">
        <f>B23/AB23</f>
        <v>2</v>
      </c>
      <c r="H23" s="4">
        <f t="shared" si="55"/>
        <v>0</v>
      </c>
      <c r="I23" s="4">
        <f t="shared" si="56"/>
        <v>0</v>
      </c>
      <c r="J23" s="4">
        <f t="shared" si="57"/>
        <v>0</v>
      </c>
      <c r="K23" s="4">
        <f t="shared" si="58"/>
        <v>0</v>
      </c>
      <c r="L23" s="4">
        <f t="shared" si="59"/>
        <v>0</v>
      </c>
      <c r="M23" s="4">
        <f t="shared" si="60"/>
        <v>0</v>
      </c>
      <c r="N23" s="4">
        <f t="shared" si="61"/>
        <v>0</v>
      </c>
      <c r="O23" s="4">
        <f t="shared" si="62"/>
        <v>0</v>
      </c>
      <c r="P23" s="4">
        <f t="shared" si="63"/>
        <v>0</v>
      </c>
      <c r="Q23" s="4">
        <f t="shared" si="64"/>
        <v>0</v>
      </c>
      <c r="R23" s="4">
        <f t="shared" si="65"/>
        <v>0</v>
      </c>
      <c r="S23" s="4">
        <f t="shared" si="66"/>
        <v>0</v>
      </c>
      <c r="T23" s="4">
        <f t="shared" si="67"/>
        <v>0</v>
      </c>
      <c r="U23" s="4">
        <f t="shared" si="68"/>
        <v>0</v>
      </c>
      <c r="V23" s="4">
        <f t="shared" si="69"/>
        <v>0</v>
      </c>
      <c r="W23" s="4">
        <f t="shared" si="70"/>
        <v>0</v>
      </c>
      <c r="X23" s="4">
        <f t="shared" si="71"/>
        <v>0</v>
      </c>
      <c r="Y23" s="4">
        <f t="shared" si="72"/>
        <v>0</v>
      </c>
      <c r="Z23" s="2">
        <f>VLOOKUP($A23,Servings!$C:$K,2,FALSE)</f>
        <v>5</v>
      </c>
      <c r="AA23" s="2" t="str">
        <f>VLOOKUP($A23,Servings!$C:$K,3,FALSE)</f>
        <v>g</v>
      </c>
      <c r="AB23" s="2">
        <f>VLOOKUP($A23,Servings!$C:$K,4,FALSE)</f>
        <v>1</v>
      </c>
      <c r="AC23" s="2" t="str">
        <f>VLOOKUP($A23,Servings!$C:$K,5,FALSE)</f>
        <v>tsp</v>
      </c>
      <c r="AD23" s="14">
        <f>VLOOKUP($A23,Servings!$C:$K,6,FALSE)</f>
        <v>0</v>
      </c>
      <c r="AE23" s="2">
        <f>VLOOKUP($A23,Servings!$C:$K,7,FALSE)</f>
        <v>0</v>
      </c>
      <c r="AF23" s="2">
        <f>VLOOKUP($A23,Servings!$C:$K,8,FALSE)</f>
        <v>0</v>
      </c>
      <c r="AG23" s="2">
        <f>VLOOKUP($A23,Servings!$C:$K,9,FALSE)</f>
        <v>0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0</v>
      </c>
      <c r="AM23">
        <f>VLOOKUP($A23,Servings!$C:$Y,15,FALSE)</f>
        <v>0</v>
      </c>
      <c r="AN23">
        <f>VLOOKUP($A23,Servings!$C:$Y,16,FALSE)</f>
        <v>0</v>
      </c>
      <c r="AO23">
        <f>VLOOKUP($A23,Servings!$C:$Y,17,FALSE)</f>
        <v>0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x14ac:dyDescent="0.25">
      <c r="A24" s="2" t="s">
        <v>120</v>
      </c>
      <c r="B24" s="2">
        <v>0.5</v>
      </c>
      <c r="C24" s="2" t="str">
        <f>IF(IFERROR(VLOOKUP(A24, Servings!C:G, 3, FALSE), "")=0, "", IFERROR(VLOOKUP(A24, Servings!C:G, 3, FALSE), ""))</f>
        <v>g</v>
      </c>
      <c r="D24" s="2" t="str">
        <f>IF(IFERROR(VLOOKUP(A24, Servings!C:G, 5, FALSE), "")=0, "", IFERROR(VLOOKUP(A24, Servings!C:G, 5, FALSE), ""))</f>
        <v>bars</v>
      </c>
      <c r="E24" s="2" t="s">
        <v>121</v>
      </c>
      <c r="F24" s="5" t="s">
        <v>144</v>
      </c>
      <c r="G24" s="3">
        <f>B24/AB24</f>
        <v>0.5</v>
      </c>
      <c r="H24" s="4">
        <f t="shared" ref="H24:Y24" si="73">$G24*AD26</f>
        <v>95</v>
      </c>
      <c r="I24" s="4">
        <f t="shared" si="73"/>
        <v>3.5</v>
      </c>
      <c r="J24" s="4">
        <f t="shared" si="73"/>
        <v>14.5</v>
      </c>
      <c r="K24" s="4">
        <f t="shared" si="73"/>
        <v>1.5</v>
      </c>
      <c r="L24" s="4">
        <f t="shared" si="73"/>
        <v>5.5</v>
      </c>
      <c r="M24" s="4">
        <f t="shared" si="73"/>
        <v>0</v>
      </c>
      <c r="N24" s="4">
        <f t="shared" si="73"/>
        <v>1</v>
      </c>
      <c r="O24" s="4">
        <f t="shared" si="73"/>
        <v>0.54</v>
      </c>
      <c r="P24" s="4">
        <f t="shared" si="73"/>
        <v>0</v>
      </c>
      <c r="Q24" s="4">
        <f t="shared" si="73"/>
        <v>0</v>
      </c>
      <c r="R24" s="4">
        <f t="shared" si="73"/>
        <v>0</v>
      </c>
      <c r="S24" s="4">
        <f t="shared" si="73"/>
        <v>0.5</v>
      </c>
      <c r="T24" s="4">
        <f t="shared" si="73"/>
        <v>70</v>
      </c>
      <c r="U24" s="4">
        <f t="shared" si="73"/>
        <v>5.5</v>
      </c>
      <c r="V24" s="4">
        <f t="shared" si="73"/>
        <v>0</v>
      </c>
      <c r="W24" s="4">
        <f t="shared" si="73"/>
        <v>0</v>
      </c>
      <c r="X24" s="4">
        <f t="shared" si="73"/>
        <v>0</v>
      </c>
      <c r="Y24" s="4">
        <f t="shared" si="73"/>
        <v>0</v>
      </c>
      <c r="Z24" s="2">
        <f>VLOOKUP($A24,Servings!$C:$K,2,FALSE)</f>
        <v>42</v>
      </c>
      <c r="AA24" s="2" t="str">
        <f>VLOOKUP($A24,Servings!$C:$K,3,FALSE)</f>
        <v>g</v>
      </c>
      <c r="AB24" s="2">
        <f>VLOOKUP($A24,Servings!$C:$K,4,FALSE)</f>
        <v>1</v>
      </c>
      <c r="AC24" s="2" t="str">
        <f>VLOOKUP($A24,Servings!$C:$K,5,FALSE)</f>
        <v>bars</v>
      </c>
      <c r="AD24" s="14" t="e">
        <f>VLOOKUP(#REF!,Servings!$C:$K,6,FALSE)</f>
        <v>#REF!</v>
      </c>
      <c r="AE24" s="2" t="e">
        <f>VLOOKUP(#REF!,Servings!$C:$K,7,FALSE)</f>
        <v>#REF!</v>
      </c>
      <c r="AF24" s="2" t="e">
        <f>VLOOKUP(#REF!,Servings!$C:$K,8,FALSE)</f>
        <v>#REF!</v>
      </c>
      <c r="AG24" s="2" t="e">
        <f>VLOOKUP(#REF!,Servings!$C:$K,9,FALSE)</f>
        <v>#REF!</v>
      </c>
      <c r="AH24" t="e">
        <f>VLOOKUP(#REF!,Servings!$C:$Y,10,FALSE)</f>
        <v>#REF!</v>
      </c>
      <c r="AI24" t="e">
        <f>VLOOKUP(#REF!,Servings!$C:$Y,11,FALSE)</f>
        <v>#REF!</v>
      </c>
      <c r="AJ24" t="e">
        <f>VLOOKUP(#REF!,Servings!$C:$Y,12,FALSE)</f>
        <v>#REF!</v>
      </c>
      <c r="AK24" t="e">
        <f>VLOOKUP(#REF!,Servings!$C:$Y,13,FALSE)</f>
        <v>#REF!</v>
      </c>
      <c r="AL24" t="e">
        <f>VLOOKUP(#REF!,Servings!$C:$Y,14,FALSE)</f>
        <v>#REF!</v>
      </c>
      <c r="AM24" t="e">
        <f>VLOOKUP(#REF!,Servings!$C:$Y,15,FALSE)</f>
        <v>#REF!</v>
      </c>
      <c r="AN24" t="e">
        <f>VLOOKUP(#REF!,Servings!$C:$Y,16,FALSE)</f>
        <v>#REF!</v>
      </c>
      <c r="AO24" t="e">
        <f>VLOOKUP(#REF!,Servings!$C:$Y,17,FALSE)</f>
        <v>#REF!</v>
      </c>
      <c r="AP24" t="e">
        <f>VLOOKUP(#REF!,Servings!$C:$Y,18,FALSE)</f>
        <v>#REF!</v>
      </c>
      <c r="AQ24" t="e">
        <f>VLOOKUP(#REF!,Servings!$C:$Y,19,FALSE)</f>
        <v>#REF!</v>
      </c>
      <c r="AR24" t="e">
        <f>VLOOKUP(#REF!,Servings!$C:$Y,20,FALSE)</f>
        <v>#REF!</v>
      </c>
      <c r="AS24" t="e">
        <f>VLOOKUP(#REF!,Servings!$C:$Y,21,FALSE)</f>
        <v>#REF!</v>
      </c>
      <c r="AT24" t="e">
        <f>VLOOKUP(#REF!,Servings!$C:$Y,22,FALSE)</f>
        <v>#REF!</v>
      </c>
      <c r="AU24" t="e">
        <f>VLOOKUP(#REF!,Servings!$C:$Y,23,FALSE)</f>
        <v>#REF!</v>
      </c>
    </row>
    <row r="25" spans="1:47" x14ac:dyDescent="0.25">
      <c r="A25" s="2" t="s">
        <v>24</v>
      </c>
      <c r="B25" s="2">
        <v>12</v>
      </c>
      <c r="C25" s="2" t="str">
        <f>IF(IFERROR(VLOOKUP(A25, Servings!C:G, 3, FALSE), "")=0, "", IFERROR(VLOOKUP(A25, Servings!C:G, 3, FALSE), ""))</f>
        <v>oz</v>
      </c>
      <c r="D25" s="2" t="str">
        <f>IF(IFERROR(VLOOKUP(A25, Servings!C:G, 5, FALSE), "")=0, "", IFERROR(VLOOKUP(A25, Servings!C:G, 5, FALSE), ""))</f>
        <v>nuts</v>
      </c>
      <c r="E25" s="2" t="s">
        <v>31</v>
      </c>
      <c r="F25" s="5" t="s">
        <v>144</v>
      </c>
      <c r="G25" s="3">
        <f>B25/AB25</f>
        <v>0.5</v>
      </c>
      <c r="H25" s="4">
        <f t="shared" ref="H25" si="74">$G25*AD25</f>
        <v>80</v>
      </c>
      <c r="I25" s="4">
        <f t="shared" ref="I25" si="75">$G25*AE25</f>
        <v>7</v>
      </c>
      <c r="J25" s="4">
        <f t="shared" ref="J25" si="76">$G25*AF25</f>
        <v>3</v>
      </c>
      <c r="K25" s="4">
        <f t="shared" ref="K25" si="77">$G25*AG25</f>
        <v>3</v>
      </c>
      <c r="L25" s="4">
        <f t="shared" ref="L25" si="78">$G25*AH25</f>
        <v>0</v>
      </c>
      <c r="M25" s="4">
        <f t="shared" ref="M25" si="79">$G25*AI25</f>
        <v>35</v>
      </c>
      <c r="N25" s="4">
        <f t="shared" ref="N25" si="80">$G25*AJ25</f>
        <v>1.5</v>
      </c>
      <c r="O25" s="4">
        <f t="shared" ref="O25" si="81">$G25*AK25</f>
        <v>0.55000000000000004</v>
      </c>
      <c r="P25" s="4">
        <f t="shared" ref="P25" si="82">$G25*AL25</f>
        <v>4.5</v>
      </c>
      <c r="Q25" s="4">
        <f t="shared" ref="Q25" si="83">$G25*AM25</f>
        <v>1.75</v>
      </c>
      <c r="R25" s="4">
        <f t="shared" ref="R25" si="84">$G25*AN25</f>
        <v>100</v>
      </c>
      <c r="S25" s="4">
        <f t="shared" ref="S25" si="85">$G25*AO25</f>
        <v>0.5</v>
      </c>
      <c r="T25" s="4">
        <f t="shared" ref="T25" si="86">$G25*AP25</f>
        <v>0</v>
      </c>
      <c r="U25" s="4">
        <f t="shared" ref="U25" si="87">$G25*AQ25</f>
        <v>0.5</v>
      </c>
      <c r="V25" s="4">
        <f t="shared" ref="V25" si="88">$G25*AR25</f>
        <v>0</v>
      </c>
      <c r="W25" s="4">
        <f t="shared" ref="W25" si="89">$G25*AS25</f>
        <v>0</v>
      </c>
      <c r="X25" s="4">
        <f t="shared" ref="X25" si="90">$G25*AT25</f>
        <v>0</v>
      </c>
      <c r="Y25" s="4">
        <f t="shared" ref="Y25" si="91">$G25*AU25</f>
        <v>0</v>
      </c>
      <c r="Z25" s="2">
        <f>IFERROR(VLOOKUP($A25,Servings!$C:$K,2,FALSE),"")</f>
        <v>28.34</v>
      </c>
      <c r="AA25" s="2" t="str">
        <f>VLOOKUP($A25,Servings!$C:$K,3,FALSE)</f>
        <v>oz</v>
      </c>
      <c r="AB25" s="2">
        <f>VLOOKUP($A25,Servings!$C:$K,4,FALSE)</f>
        <v>24</v>
      </c>
      <c r="AC25" s="2" t="str">
        <f>VLOOKUP($A25,Servings!$C:$K,5,FALSE)</f>
        <v>nuts</v>
      </c>
      <c r="AD25" s="14">
        <f>VLOOKUP($A25,Servings!$C:$K,6,FALSE)</f>
        <v>160</v>
      </c>
      <c r="AE25" s="2">
        <f>VLOOKUP($A25,Servings!$C:$K,7,FALSE)</f>
        <v>14</v>
      </c>
      <c r="AF25" s="2">
        <f>VLOOKUP($A25,Servings!$C:$K,8,FALSE)</f>
        <v>6</v>
      </c>
      <c r="AG25" s="2">
        <f>VLOOKUP($A25,Servings!$C:$K,9,FALSE)</f>
        <v>6</v>
      </c>
      <c r="AH25">
        <f>VLOOKUP($A25,Servings!$C:$Y,10,FALSE)</f>
        <v>0</v>
      </c>
      <c r="AI25">
        <f>VLOOKUP($A25,Servings!$C:$Y,11,FALSE)</f>
        <v>70</v>
      </c>
      <c r="AJ25">
        <f>VLOOKUP($A25,Servings!$C:$Y,12,FALSE)</f>
        <v>3</v>
      </c>
      <c r="AK25">
        <f>VLOOKUP($A25,Servings!$C:$Y,13,FALSE)</f>
        <v>1.1000000000000001</v>
      </c>
      <c r="AL25">
        <f>VLOOKUP($A25,Servings!$C:$Y,14,FALSE)</f>
        <v>9</v>
      </c>
      <c r="AM25">
        <f>VLOOKUP($A25,Servings!$C:$Y,15,FALSE)</f>
        <v>3.5</v>
      </c>
      <c r="AN25">
        <f>VLOOKUP($A25,Servings!$C:$Y,16,FALSE)</f>
        <v>200</v>
      </c>
      <c r="AO25">
        <f>VLOOKUP($A25,Servings!$C:$Y,17,FALSE)</f>
        <v>1</v>
      </c>
      <c r="AP25">
        <f>VLOOKUP($A25,Servings!$C:$Y,18,FALSE)</f>
        <v>0</v>
      </c>
      <c r="AQ25">
        <f>VLOOKUP($A25,Servings!$C:$Y,19,FALSE)</f>
        <v>1</v>
      </c>
      <c r="AR25">
        <f>VLOOKUP($A25,Servings!$C:$Y,20,FALSE)</f>
        <v>0</v>
      </c>
      <c r="AS25">
        <f>VLOOKUP($A25,Servings!$C:$Y,21,FALSE)</f>
        <v>0</v>
      </c>
      <c r="AT25">
        <f>VLOOKUP($A25,Servings!$C:$Y,22,FALSE)</f>
        <v>0</v>
      </c>
      <c r="AU25">
        <f>VLOOKUP($A25,Servings!$C:$Y,23,FALSE)</f>
        <v>0</v>
      </c>
    </row>
    <row r="26" spans="1:47" x14ac:dyDescent="0.25">
      <c r="A26" s="2" t="s">
        <v>152</v>
      </c>
      <c r="B26" s="2">
        <v>2</v>
      </c>
      <c r="C26" s="2" t="str">
        <f>IF(IFERROR(VLOOKUP(A26, Servings!C:G, 3, FALSE), "")=0, "", IFERROR(VLOOKUP(A26, Servings!C:G, 3, FALSE), ""))</f>
        <v/>
      </c>
      <c r="D26" s="2" t="str">
        <f>IF(IFERROR(VLOOKUP(A26, Servings!C:G, 5, FALSE), "")=0, "", IFERROR(VLOOKUP(A26, Servings!C:G, 5, FALSE), ""))</f>
        <v>softgels</v>
      </c>
      <c r="E26" s="2" t="s">
        <v>153</v>
      </c>
      <c r="F26" s="2"/>
      <c r="G26" s="3">
        <f>B26/AB26</f>
        <v>1</v>
      </c>
      <c r="H26" s="4">
        <f t="shared" ref="H26:H29" si="92">$G26*AD26</f>
        <v>190</v>
      </c>
      <c r="I26" s="4">
        <f t="shared" ref="I26:I29" si="93">$G26*AE26</f>
        <v>7</v>
      </c>
      <c r="J26" s="4">
        <f t="shared" ref="J26:J29" si="94">$G26*AF26</f>
        <v>29</v>
      </c>
      <c r="K26" s="4">
        <f t="shared" ref="K26:K29" si="95">$G26*AG26</f>
        <v>3</v>
      </c>
      <c r="L26" s="4">
        <f t="shared" ref="L26:L29" si="96">$G26*AH26</f>
        <v>11</v>
      </c>
      <c r="M26" s="4">
        <f t="shared" ref="M26:M29" si="97">$G26*AI26</f>
        <v>0</v>
      </c>
      <c r="N26" s="4">
        <f t="shared" ref="N26:N29" si="98">$G26*AJ26</f>
        <v>2</v>
      </c>
      <c r="O26" s="4">
        <f t="shared" ref="O26:O29" si="99">$G26*AK26</f>
        <v>1.08</v>
      </c>
      <c r="P26" s="4">
        <f t="shared" ref="P26:P29" si="100">$G26*AL26</f>
        <v>0</v>
      </c>
      <c r="Q26" s="4">
        <f t="shared" ref="Q26:Q29" si="101">$G26*AM26</f>
        <v>0</v>
      </c>
      <c r="R26" s="4">
        <f t="shared" ref="R26:R29" si="102">$G26*AN26</f>
        <v>0</v>
      </c>
      <c r="S26" s="4">
        <f t="shared" ref="S26:S29" si="103">$G26*AO26</f>
        <v>1</v>
      </c>
      <c r="T26" s="4">
        <f t="shared" ref="T26:T29" si="104">$G26*AP26</f>
        <v>140</v>
      </c>
      <c r="U26" s="4">
        <f t="shared" ref="U26:U29" si="105">$G26*AQ26</f>
        <v>11</v>
      </c>
      <c r="V26" s="4">
        <f t="shared" ref="V26:V29" si="106">$G26*AR26</f>
        <v>0</v>
      </c>
      <c r="W26" s="4">
        <f t="shared" ref="W26:W29" si="107">$G26*AS26</f>
        <v>0</v>
      </c>
      <c r="X26" s="4">
        <f t="shared" ref="X26:X29" si="108">$G26*AT26</f>
        <v>0</v>
      </c>
      <c r="Y26" s="4">
        <f t="shared" ref="Y26:Y29" si="109">$G26*AU26</f>
        <v>0</v>
      </c>
      <c r="Z26" s="2">
        <f>IFERROR(VLOOKUP($A26,Servings!$C:$K,2,FALSE),"")</f>
        <v>0</v>
      </c>
      <c r="AA26" s="2">
        <f>VLOOKUP($A26,Servings!$C:$K,3,FALSE)</f>
        <v>0</v>
      </c>
      <c r="AB26" s="2">
        <f>VLOOKUP($A26,Servings!$C:$K,4,FALSE)</f>
        <v>2</v>
      </c>
      <c r="AC26" s="2" t="str">
        <f>VLOOKUP($A26,Servings!$C:$K,5,FALSE)</f>
        <v>softgels</v>
      </c>
      <c r="AD26" s="14">
        <f>VLOOKUP($A24,Servings!$C:$K,6,FALSE)</f>
        <v>190</v>
      </c>
      <c r="AE26" s="2">
        <f>VLOOKUP($A24,Servings!$C:$K,7,FALSE)</f>
        <v>7</v>
      </c>
      <c r="AF26" s="2">
        <f>VLOOKUP($A24,Servings!$C:$K,8,FALSE)</f>
        <v>29</v>
      </c>
      <c r="AG26" s="2">
        <f>VLOOKUP($A24,Servings!$C:$K,9,FALSE)</f>
        <v>3</v>
      </c>
      <c r="AH26">
        <f>VLOOKUP($A24,Servings!$C:$Y,10,FALSE)</f>
        <v>11</v>
      </c>
      <c r="AI26">
        <f>VLOOKUP($A24,Servings!$C:$Y,11,FALSE)</f>
        <v>0</v>
      </c>
      <c r="AJ26">
        <f>VLOOKUP($A24,Servings!$C:$Y,12,FALSE)</f>
        <v>2</v>
      </c>
      <c r="AK26">
        <f>VLOOKUP($A24,Servings!$C:$Y,13,FALSE)</f>
        <v>1.08</v>
      </c>
      <c r="AL26">
        <f>VLOOKUP($A24,Servings!$C:$Y,14,FALSE)</f>
        <v>0</v>
      </c>
      <c r="AM26">
        <f>VLOOKUP($A24,Servings!$C:$Y,15,FALSE)</f>
        <v>0</v>
      </c>
      <c r="AN26">
        <f>VLOOKUP($A24,Servings!$C:$Y,16,FALSE)</f>
        <v>0</v>
      </c>
      <c r="AO26">
        <f>VLOOKUP($A24,Servings!$C:$Y,17,FALSE)</f>
        <v>1</v>
      </c>
      <c r="AP26">
        <f>VLOOKUP($A24,Servings!$C:$Y,18,FALSE)</f>
        <v>140</v>
      </c>
      <c r="AQ26">
        <f>VLOOKUP($A24,Servings!$C:$Y,19,FALSE)</f>
        <v>11</v>
      </c>
      <c r="AR26">
        <f>VLOOKUP($A24,Servings!$C:$Y,20,FALSE)</f>
        <v>0</v>
      </c>
      <c r="AS26">
        <f>VLOOKUP($A24,Servings!$C:$Y,21,FALSE)</f>
        <v>0</v>
      </c>
      <c r="AT26">
        <f>VLOOKUP($A24,Servings!$C:$Y,22,FALSE)</f>
        <v>0</v>
      </c>
      <c r="AU26">
        <f>VLOOKUP($A24,Servings!$C:$Y,23,FALSE)</f>
        <v>0</v>
      </c>
    </row>
    <row r="27" spans="1:47" x14ac:dyDescent="0.25">
      <c r="A27" s="2" t="s">
        <v>156</v>
      </c>
      <c r="B27" s="2">
        <v>1</v>
      </c>
      <c r="C27" s="2" t="str">
        <f>IF(IFERROR(VLOOKUP(A27, Servings!C:G, 3, FALSE), "")=0, "", IFERROR(VLOOKUP(A27, Servings!C:G, 3, FALSE), ""))</f>
        <v/>
      </c>
      <c r="D27" s="2" t="str">
        <f>IF(IFERROR(VLOOKUP(A27, Servings!C:G, 5, FALSE), "")=0, "", IFERROR(VLOOKUP(A27, Servings!C:G, 5, FALSE), ""))</f>
        <v>softgel</v>
      </c>
      <c r="E27" s="2" t="s">
        <v>157</v>
      </c>
      <c r="F27" s="5"/>
      <c r="G27" s="3">
        <f>B27/AB27</f>
        <v>1</v>
      </c>
      <c r="H27" s="4">
        <f t="shared" si="92"/>
        <v>10</v>
      </c>
      <c r="I27" s="4">
        <f t="shared" si="93"/>
        <v>0.5</v>
      </c>
      <c r="J27" s="4">
        <f t="shared" si="94"/>
        <v>0</v>
      </c>
      <c r="K27" s="4">
        <f t="shared" si="95"/>
        <v>0</v>
      </c>
      <c r="L27" s="4">
        <f t="shared" si="96"/>
        <v>0</v>
      </c>
      <c r="M27" s="4">
        <f t="shared" si="97"/>
        <v>0</v>
      </c>
      <c r="N27" s="4">
        <f t="shared" si="98"/>
        <v>0</v>
      </c>
      <c r="O27" s="4">
        <f t="shared" si="99"/>
        <v>0</v>
      </c>
      <c r="P27" s="4">
        <f t="shared" si="100"/>
        <v>0</v>
      </c>
      <c r="Q27" s="4">
        <f t="shared" si="101"/>
        <v>0</v>
      </c>
      <c r="R27" s="4">
        <f t="shared" si="102"/>
        <v>0</v>
      </c>
      <c r="S27" s="4">
        <f t="shared" si="103"/>
        <v>0.5</v>
      </c>
      <c r="T27" s="4">
        <f t="shared" si="104"/>
        <v>0</v>
      </c>
      <c r="U27" s="4">
        <f t="shared" si="105"/>
        <v>0</v>
      </c>
      <c r="V27" s="4">
        <f t="shared" si="106"/>
        <v>0</v>
      </c>
      <c r="W27" s="4">
        <f t="shared" si="107"/>
        <v>0</v>
      </c>
      <c r="X27" s="4">
        <f t="shared" si="108"/>
        <v>0</v>
      </c>
      <c r="Y27" s="4">
        <f t="shared" si="109"/>
        <v>0</v>
      </c>
      <c r="Z27" s="2">
        <f>IFERROR(VLOOKUP($A27,Servings!$C:$K,2,FALSE),"")</f>
        <v>0</v>
      </c>
      <c r="AA27" s="2">
        <f>VLOOKUP($A27,Servings!$C:$K,3,FALSE)</f>
        <v>0</v>
      </c>
      <c r="AB27" s="2">
        <f>VLOOKUP($A27,Servings!$C:$K,4,FALSE)</f>
        <v>1</v>
      </c>
      <c r="AC27" s="2" t="str">
        <f>VLOOKUP($A27,Servings!$C:$K,5,FALSE)</f>
        <v>softgel</v>
      </c>
      <c r="AD27" s="14">
        <f>VLOOKUP($A27,Servings!$C:$K,6,FALSE)</f>
        <v>10</v>
      </c>
      <c r="AE27" s="2">
        <f>VLOOKUP($A27,Servings!$C:$K,7,FALSE)</f>
        <v>0.5</v>
      </c>
      <c r="AF27" s="2">
        <f>VLOOKUP($A27,Servings!$C:$K,8,FALSE)</f>
        <v>0</v>
      </c>
      <c r="AG27" s="2">
        <f>VLOOKUP($A27,Servings!$C:$K,9,FALSE)</f>
        <v>0</v>
      </c>
      <c r="AH27">
        <f>VLOOKUP($A27,Servings!$C:$Y,10,FALSE)</f>
        <v>0</v>
      </c>
      <c r="AI27">
        <f>VLOOKUP($A27,Servings!$C:$Y,11,FALSE)</f>
        <v>0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0.5</v>
      </c>
      <c r="AP27">
        <f>VLOOKUP($A27,Servings!$C:$Y,18,FALSE)</f>
        <v>0</v>
      </c>
      <c r="AQ27">
        <f>VLOOKUP($A27,Servings!$C:$Y,19,FALSE)</f>
        <v>0</v>
      </c>
      <c r="AR27">
        <f>VLOOKUP($A27,Servings!$C:$Y,20,FALSE)</f>
        <v>0</v>
      </c>
      <c r="AS27">
        <f>VLOOKUP($A27,Servings!$C:$Y,21,FALSE)</f>
        <v>0</v>
      </c>
      <c r="AT27">
        <f>VLOOKUP($A27,Servings!$C:$Y,22,FALSE)</f>
        <v>0</v>
      </c>
      <c r="AU27">
        <f>VLOOKUP($A27,Servings!$C:$Y,23,FALSE)</f>
        <v>0</v>
      </c>
    </row>
    <row r="28" spans="1:47" x14ac:dyDescent="0.25">
      <c r="A28" s="2" t="s">
        <v>160</v>
      </c>
      <c r="B28" s="2">
        <v>2</v>
      </c>
      <c r="C28" s="2" t="str">
        <f>IF(IFERROR(VLOOKUP(A28, Servings!C:G, 3, FALSE), "")=0, "", IFERROR(VLOOKUP(A28, Servings!C:G, 3, FALSE), ""))</f>
        <v/>
      </c>
      <c r="D28" s="2" t="str">
        <f>IF(IFERROR(VLOOKUP(A28, Servings!C:G, 5, FALSE), "")=0, "", IFERROR(VLOOKUP(A28, Servings!C:G, 5, FALSE), ""))</f>
        <v>capsule</v>
      </c>
      <c r="E28" s="2" t="s">
        <v>161</v>
      </c>
      <c r="F28" s="2"/>
      <c r="G28" s="3">
        <f>B28/AB28</f>
        <v>1</v>
      </c>
      <c r="H28" s="4">
        <f t="shared" si="92"/>
        <v>5</v>
      </c>
      <c r="I28" s="4">
        <f t="shared" si="93"/>
        <v>0</v>
      </c>
      <c r="J28" s="4">
        <f t="shared" si="94"/>
        <v>0</v>
      </c>
      <c r="K28" s="4">
        <f t="shared" si="95"/>
        <v>0</v>
      </c>
      <c r="L28" s="4">
        <f t="shared" si="96"/>
        <v>0</v>
      </c>
      <c r="M28" s="4">
        <f t="shared" si="97"/>
        <v>650</v>
      </c>
      <c r="N28" s="4">
        <f t="shared" si="98"/>
        <v>0</v>
      </c>
      <c r="O28" s="4">
        <f t="shared" si="99"/>
        <v>0</v>
      </c>
      <c r="P28" s="4">
        <f t="shared" si="100"/>
        <v>0</v>
      </c>
      <c r="Q28" s="4">
        <f t="shared" si="101"/>
        <v>0</v>
      </c>
      <c r="R28" s="4">
        <f t="shared" si="102"/>
        <v>0</v>
      </c>
      <c r="S28" s="4">
        <f t="shared" si="103"/>
        <v>0</v>
      </c>
      <c r="T28" s="4">
        <f t="shared" si="104"/>
        <v>5</v>
      </c>
      <c r="U28" s="4">
        <f t="shared" si="105"/>
        <v>0</v>
      </c>
      <c r="V28" s="4">
        <f t="shared" si="106"/>
        <v>0</v>
      </c>
      <c r="W28" s="4">
        <f t="shared" si="107"/>
        <v>0</v>
      </c>
      <c r="X28" s="4">
        <f t="shared" si="108"/>
        <v>0</v>
      </c>
      <c r="Y28" s="4">
        <f t="shared" si="109"/>
        <v>25</v>
      </c>
      <c r="Z28" s="2">
        <f>IFERROR(VLOOKUP($A28,Servings!$C:$K,2,FALSE),"")</f>
        <v>0</v>
      </c>
      <c r="AA28" s="2">
        <f>VLOOKUP($A28,Servings!$C:$K,3,FALSE)</f>
        <v>0</v>
      </c>
      <c r="AB28" s="2">
        <f>VLOOKUP($A28,Servings!$C:$K,4,FALSE)</f>
        <v>2</v>
      </c>
      <c r="AC28" s="2" t="str">
        <f>VLOOKUP($A28,Servings!$C:$K,5,FALSE)</f>
        <v>capsule</v>
      </c>
      <c r="AD28" s="14">
        <f>VLOOKUP($A28,Servings!$C:$K,6,FALSE)</f>
        <v>5</v>
      </c>
      <c r="AE28" s="2">
        <f>VLOOKUP($A28,Servings!$C:$K,7,FALSE)</f>
        <v>0</v>
      </c>
      <c r="AF28" s="2">
        <f>VLOOKUP($A28,Servings!$C:$K,8,FALSE)</f>
        <v>0</v>
      </c>
      <c r="AG28" s="2">
        <f>VLOOKUP($A28,Servings!$C:$K,9,FALSE)</f>
        <v>0</v>
      </c>
      <c r="AH28">
        <f>VLOOKUP($A28,Servings!$C:$Y,10,FALSE)</f>
        <v>0</v>
      </c>
      <c r="AI28">
        <f>VLOOKUP($A28,Servings!$C:$Y,11,FALSE)</f>
        <v>650</v>
      </c>
      <c r="AJ28">
        <f>VLOOKUP($A28,Servings!$C:$Y,12,FALSE)</f>
        <v>0</v>
      </c>
      <c r="AK28">
        <f>VLOOKUP($A28,Servings!$C:$Y,13,FALSE)</f>
        <v>0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0</v>
      </c>
      <c r="AO28">
        <f>VLOOKUP($A28,Servings!$C:$Y,17,FALSE)</f>
        <v>0</v>
      </c>
      <c r="AP28">
        <f>VLOOKUP($A28,Servings!$C:$Y,18,FALSE)</f>
        <v>5</v>
      </c>
      <c r="AQ28">
        <f>VLOOKUP($A28,Servings!$C:$Y,19,FALSE)</f>
        <v>0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25</v>
      </c>
    </row>
    <row r="29" spans="1:47" x14ac:dyDescent="0.25">
      <c r="A29" s="2" t="s">
        <v>168</v>
      </c>
      <c r="B29" s="2">
        <v>2</v>
      </c>
      <c r="C29" s="2" t="str">
        <f>IF(IFERROR(VLOOKUP(A29, Servings!C:G, 3, FALSE), "")=0, "", IFERROR(VLOOKUP(A29, Servings!C:G, 3, FALSE), ""))</f>
        <v/>
      </c>
      <c r="D29" s="2" t="str">
        <f>IF(IFERROR(VLOOKUP(A29, Servings!C:G, 5, FALSE), "")=0, "", IFERROR(VLOOKUP(A29, Servings!C:G, 5, FALSE), ""))</f>
        <v>gummies</v>
      </c>
      <c r="E29" s="2" t="s">
        <v>33</v>
      </c>
      <c r="F29" s="2"/>
      <c r="G29" s="3">
        <f>B29/AB29</f>
        <v>1</v>
      </c>
      <c r="H29" s="4">
        <f t="shared" si="92"/>
        <v>10</v>
      </c>
      <c r="I29" s="4">
        <f t="shared" si="93"/>
        <v>0</v>
      </c>
      <c r="J29" s="4">
        <f t="shared" si="94"/>
        <v>3</v>
      </c>
      <c r="K29" s="4">
        <f t="shared" si="95"/>
        <v>0</v>
      </c>
      <c r="L29" s="4">
        <f t="shared" si="96"/>
        <v>0</v>
      </c>
      <c r="M29" s="4">
        <f t="shared" si="97"/>
        <v>0</v>
      </c>
      <c r="N29" s="4">
        <f t="shared" si="98"/>
        <v>0</v>
      </c>
      <c r="O29" s="4">
        <f t="shared" si="99"/>
        <v>0</v>
      </c>
      <c r="P29" s="4">
        <f t="shared" si="100"/>
        <v>0</v>
      </c>
      <c r="Q29" s="4">
        <f t="shared" si="101"/>
        <v>0</v>
      </c>
      <c r="R29" s="4">
        <f t="shared" si="102"/>
        <v>0</v>
      </c>
      <c r="S29" s="4">
        <f t="shared" si="103"/>
        <v>0</v>
      </c>
      <c r="T29" s="4">
        <f t="shared" si="104"/>
        <v>0</v>
      </c>
      <c r="U29" s="4">
        <f t="shared" si="105"/>
        <v>3</v>
      </c>
      <c r="V29" s="4">
        <f t="shared" si="106"/>
        <v>0</v>
      </c>
      <c r="W29" s="4">
        <f t="shared" si="107"/>
        <v>0</v>
      </c>
      <c r="X29" s="4">
        <f t="shared" si="108"/>
        <v>0</v>
      </c>
      <c r="Y29" s="4">
        <f t="shared" si="109"/>
        <v>0</v>
      </c>
      <c r="Z29" s="2">
        <f>VLOOKUP($A29,Servings!$C:$K,2,FALSE)</f>
        <v>0</v>
      </c>
      <c r="AA29" s="2">
        <f>VLOOKUP($A29,Servings!$C:$K,3,FALSE)</f>
        <v>0</v>
      </c>
      <c r="AB29" s="2">
        <f>VLOOKUP($A29,Servings!$C:$K,4,FALSE)</f>
        <v>2</v>
      </c>
      <c r="AC29" s="2" t="str">
        <f>VLOOKUP($A29,Servings!$C:$K,5,FALSE)</f>
        <v>gummies</v>
      </c>
      <c r="AD29" s="2">
        <f>VLOOKUP($A29,Servings!$C:$K,6,FALSE)</f>
        <v>10</v>
      </c>
      <c r="AE29" s="2">
        <f>VLOOKUP($A29,Servings!$C:$K,7,FALSE)</f>
        <v>0</v>
      </c>
      <c r="AF29" s="2">
        <f>VLOOKUP($A29,Servings!$C:$K,8,FALSE)</f>
        <v>3</v>
      </c>
      <c r="AG29" s="2">
        <f>VLOOKUP($A29,Servings!$C:$K,9,FALSE)</f>
        <v>0</v>
      </c>
      <c r="AH29">
        <f>VLOOKUP($A29,Servings!$C:$Y,10,FALSE)</f>
        <v>0</v>
      </c>
      <c r="AI29">
        <f>VLOOKUP($A29,Servings!$C:$Y,11,FALSE)</f>
        <v>0</v>
      </c>
      <c r="AJ29">
        <f>VLOOKUP($A29,Servings!$C:$Y,12,FALSE)</f>
        <v>0</v>
      </c>
      <c r="AK29">
        <f>VLOOKUP($A29,Servings!$C:$Y,13,FALSE)</f>
        <v>0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0</v>
      </c>
      <c r="AO29">
        <f>VLOOKUP($A29,Servings!$C:$Y,17,FALSE)</f>
        <v>0</v>
      </c>
      <c r="AP29">
        <f>VLOOKUP($A29,Servings!$C:$Y,18,FALSE)</f>
        <v>0</v>
      </c>
      <c r="AQ29">
        <f>VLOOKUP($A29,Servings!$C:$Y,19,FALSE)</f>
        <v>3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30" s="2" t="s">
        <v>172</v>
      </c>
      <c r="B30" s="2">
        <v>90</v>
      </c>
      <c r="C30" s="2" t="str">
        <f>IF(IFERROR(VLOOKUP(A30, Servings!C:G, 3, FALSE), "")=0, "", IFERROR(VLOOKUP(A30, Servings!C:G, 3, FALSE), ""))</f>
        <v>g</v>
      </c>
      <c r="D30" s="2" t="str">
        <f>IF(IFERROR(VLOOKUP(A30, Servings!C:G, 5, FALSE), "")=0, "", IFERROR(VLOOKUP(A30, Servings!C:G, 5, FALSE), ""))</f>
        <v>serving</v>
      </c>
      <c r="E30" s="2" t="s">
        <v>28</v>
      </c>
      <c r="F30" s="9" t="s">
        <v>87</v>
      </c>
      <c r="G30" s="3">
        <f>B30/Z30</f>
        <v>0.8035714285714286</v>
      </c>
      <c r="H30" s="4">
        <f t="shared" ref="H30:H31" si="110">$G30*AD30</f>
        <v>96.428571428571431</v>
      </c>
      <c r="I30" s="4">
        <f t="shared" ref="I30:I31" si="111">$G30*AE30</f>
        <v>2.0089285714285716</v>
      </c>
      <c r="J30" s="4">
        <f t="shared" ref="J30:J31" si="112">$G30*AF30</f>
        <v>0</v>
      </c>
      <c r="K30" s="4">
        <f t="shared" ref="K30:K31" si="113">$G30*AG30</f>
        <v>18.482142857142858</v>
      </c>
      <c r="L30" s="4">
        <f t="shared" ref="L30:L31" si="114">$G30*AH30</f>
        <v>0</v>
      </c>
      <c r="M30" s="4">
        <f t="shared" ref="M30:M31" si="115">$G30*AI30</f>
        <v>0</v>
      </c>
      <c r="N30" s="4">
        <f t="shared" ref="N30:N31" si="116">$G30*AJ30</f>
        <v>0</v>
      </c>
      <c r="O30" s="4">
        <f t="shared" ref="O30:O31" si="117">$G30*AK30</f>
        <v>0</v>
      </c>
      <c r="P30" s="4">
        <f t="shared" ref="P30:P31" si="118">$G30*AL30</f>
        <v>0</v>
      </c>
      <c r="Q30" s="4">
        <f t="shared" ref="Q30:Q31" si="119">$G30*AM30</f>
        <v>0</v>
      </c>
      <c r="R30" s="4">
        <f t="shared" ref="R30:R31" si="120">$G30*AN30</f>
        <v>0</v>
      </c>
      <c r="S30" s="4">
        <f t="shared" ref="S30:S31" si="121">$G30*AO30</f>
        <v>0</v>
      </c>
      <c r="T30" s="4">
        <f t="shared" ref="T30:T31" si="122">$G30*AP30</f>
        <v>0</v>
      </c>
      <c r="U30" s="4">
        <f t="shared" ref="U30:U31" si="123">$G30*AQ30</f>
        <v>0</v>
      </c>
      <c r="V30" s="4">
        <f t="shared" ref="V30:V31" si="124">$G30*AR30</f>
        <v>0</v>
      </c>
      <c r="W30" s="4">
        <f t="shared" ref="W30:W31" si="125">$G30*AS30</f>
        <v>0</v>
      </c>
      <c r="X30" s="4">
        <f t="shared" ref="X30:X31" si="126">$G30*AT30</f>
        <v>0</v>
      </c>
      <c r="Y30" s="4">
        <f t="shared" ref="Y30:Y31" si="127">$G30*AU30</f>
        <v>0</v>
      </c>
      <c r="Z30" s="2">
        <f>VLOOKUP($A30,Servings!$C:$K,2,FALSE)</f>
        <v>112</v>
      </c>
      <c r="AA30" s="2" t="str">
        <f>VLOOKUP($A30,Servings!$C:$K,3,FALSE)</f>
        <v>g</v>
      </c>
      <c r="AB30" s="2">
        <f>VLOOKUP($A30,Servings!$C:$K,4,FALSE)</f>
        <v>1</v>
      </c>
      <c r="AC30" s="2" t="str">
        <f>VLOOKUP($A30,Servings!$C:$K,5,FALSE)</f>
        <v>serving</v>
      </c>
      <c r="AD30" s="2">
        <f>VLOOKUP($A30,Servings!$C:$K,6,FALSE)</f>
        <v>120</v>
      </c>
      <c r="AE30" s="2">
        <f>VLOOKUP($A30,Servings!$C:$K,7,FALSE)</f>
        <v>2.5</v>
      </c>
      <c r="AF30" s="2">
        <f>VLOOKUP($A30,Servings!$C:$K,8,FALSE)</f>
        <v>0</v>
      </c>
      <c r="AG30" s="2">
        <f>VLOOKUP($A30,Servings!$C:$K,9,FALSE)</f>
        <v>23</v>
      </c>
      <c r="AH30">
        <f>VLOOKUP($A30,Servings!$C:$Y,10,FALSE)</f>
        <v>0</v>
      </c>
      <c r="AI30">
        <f>VLOOKUP($A30,Servings!$C:$Y,11,FALSE)</f>
        <v>0</v>
      </c>
      <c r="AJ30">
        <f>VLOOKUP($A30,Servings!$C:$Y,12,FALSE)</f>
        <v>0</v>
      </c>
      <c r="AK30">
        <f>VLOOKUP($A30,Servings!$C:$Y,13,FALSE)</f>
        <v>0</v>
      </c>
      <c r="AL30">
        <f>VLOOKUP($A30,Servings!$C:$Y,14,FALSE)</f>
        <v>0</v>
      </c>
      <c r="AM30">
        <f>VLOOKUP($A30,Servings!$C:$Y,15,FALSE)</f>
        <v>0</v>
      </c>
      <c r="AN30">
        <f>VLOOKUP($A30,Servings!$C:$Y,16,FALSE)</f>
        <v>0</v>
      </c>
      <c r="AO30">
        <f>VLOOKUP($A30,Servings!$C:$Y,17,FALSE)</f>
        <v>0</v>
      </c>
      <c r="AP30">
        <f>VLOOKUP($A30,Servings!$C:$Y,18,FALSE)</f>
        <v>0</v>
      </c>
      <c r="AQ30">
        <f>VLOOKUP($A30,Servings!$C:$Y,19,FALSE)</f>
        <v>0</v>
      </c>
      <c r="AR30">
        <f>VLOOKUP($A30,Servings!$C:$Y,20,FALSE)</f>
        <v>0</v>
      </c>
      <c r="AS30">
        <f>VLOOKUP($A30,Servings!$C:$Y,21,FALSE)</f>
        <v>0</v>
      </c>
      <c r="AT30">
        <f>VLOOKUP($A30,Servings!$C:$Y,22,FALSE)</f>
        <v>0</v>
      </c>
      <c r="AU30">
        <f>VLOOKUP($A30,Servings!$C:$Y,23,FALSE)</f>
        <v>0</v>
      </c>
    </row>
    <row r="31" spans="1:47" x14ac:dyDescent="0.25">
      <c r="A31" s="2" t="s">
        <v>160</v>
      </c>
      <c r="B31" s="2">
        <v>1</v>
      </c>
      <c r="C31" s="2" t="str">
        <f>IF(IFERROR(VLOOKUP(A31, Servings!C:G, 3, FALSE), "")=0, "", IFERROR(VLOOKUP(A31, Servings!C:G, 3, FALSE), ""))</f>
        <v/>
      </c>
      <c r="D31" s="2" t="str">
        <f>IF(IFERROR(VLOOKUP(A31, Servings!C:G, 5, FALSE), "")=0, "", IFERROR(VLOOKUP(A31, Servings!C:G, 5, FALSE), ""))</f>
        <v>capsule</v>
      </c>
      <c r="E31" s="2" t="s">
        <v>161</v>
      </c>
      <c r="F31" s="2"/>
      <c r="G31" s="3">
        <f>B31/AB31</f>
        <v>0.5</v>
      </c>
      <c r="H31" s="4">
        <f t="shared" si="110"/>
        <v>2.5</v>
      </c>
      <c r="I31" s="4">
        <f t="shared" si="111"/>
        <v>0</v>
      </c>
      <c r="J31" s="4">
        <f t="shared" si="112"/>
        <v>0</v>
      </c>
      <c r="K31" s="4">
        <f t="shared" si="113"/>
        <v>0</v>
      </c>
      <c r="L31" s="4">
        <f t="shared" si="114"/>
        <v>0</v>
      </c>
      <c r="M31" s="4">
        <f t="shared" si="115"/>
        <v>325</v>
      </c>
      <c r="N31" s="4">
        <f t="shared" si="116"/>
        <v>0</v>
      </c>
      <c r="O31" s="4">
        <f t="shared" si="117"/>
        <v>0</v>
      </c>
      <c r="P31" s="4">
        <f t="shared" si="118"/>
        <v>0</v>
      </c>
      <c r="Q31" s="4">
        <f t="shared" si="119"/>
        <v>0</v>
      </c>
      <c r="R31" s="4">
        <f t="shared" si="120"/>
        <v>0</v>
      </c>
      <c r="S31" s="4">
        <f t="shared" si="121"/>
        <v>0</v>
      </c>
      <c r="T31" s="4">
        <f t="shared" si="122"/>
        <v>2.5</v>
      </c>
      <c r="U31" s="4">
        <f t="shared" si="123"/>
        <v>0</v>
      </c>
      <c r="V31" s="4">
        <f t="shared" si="124"/>
        <v>0</v>
      </c>
      <c r="W31" s="4">
        <f t="shared" si="125"/>
        <v>0</v>
      </c>
      <c r="X31" s="4">
        <f t="shared" si="126"/>
        <v>0</v>
      </c>
      <c r="Y31" s="4">
        <f t="shared" si="127"/>
        <v>12.5</v>
      </c>
      <c r="Z31" s="2">
        <f>IFERROR(VLOOKUP($A31,Servings!$C:$K,2,FALSE),"")</f>
        <v>0</v>
      </c>
      <c r="AA31" s="2">
        <f>VLOOKUP($A31,Servings!$C:$K,3,FALSE)</f>
        <v>0</v>
      </c>
      <c r="AB31" s="2">
        <f>VLOOKUP($A31,Servings!$C:$K,4,FALSE)</f>
        <v>2</v>
      </c>
      <c r="AC31" s="2" t="str">
        <f>VLOOKUP($A31,Servings!$C:$K,5,FALSE)</f>
        <v>capsule</v>
      </c>
      <c r="AD31" s="14">
        <f>VLOOKUP($A31,Servings!$C:$K,6,FALSE)</f>
        <v>5</v>
      </c>
      <c r="AE31" s="2">
        <f>VLOOKUP($A31,Servings!$C:$K,7,FALSE)</f>
        <v>0</v>
      </c>
      <c r="AF31" s="2">
        <f>VLOOKUP($A31,Servings!$C:$K,8,FALSE)</f>
        <v>0</v>
      </c>
      <c r="AG31" s="2">
        <f>VLOOKUP($A31,Servings!$C:$K,9,FALSE)</f>
        <v>0</v>
      </c>
      <c r="AH31">
        <f>VLOOKUP($A31,Servings!$C:$Y,10,FALSE)</f>
        <v>0</v>
      </c>
      <c r="AI31">
        <f>VLOOKUP($A31,Servings!$C:$Y,11,FALSE)</f>
        <v>650</v>
      </c>
      <c r="AJ31">
        <f>VLOOKUP($A31,Servings!$C:$Y,12,FALSE)</f>
        <v>0</v>
      </c>
      <c r="AK31">
        <f>VLOOKUP($A31,Servings!$C:$Y,13,FALSE)</f>
        <v>0</v>
      </c>
      <c r="AL31">
        <f>VLOOKUP($A31,Servings!$C:$Y,14,FALSE)</f>
        <v>0</v>
      </c>
      <c r="AM31">
        <f>VLOOKUP($A31,Servings!$C:$Y,15,FALSE)</f>
        <v>0</v>
      </c>
      <c r="AN31">
        <f>VLOOKUP($A31,Servings!$C:$Y,16,FALSE)</f>
        <v>0</v>
      </c>
      <c r="AO31">
        <f>VLOOKUP($A31,Servings!$C:$Y,17,FALSE)</f>
        <v>0</v>
      </c>
      <c r="AP31">
        <f>VLOOKUP($A31,Servings!$C:$Y,18,FALSE)</f>
        <v>5</v>
      </c>
      <c r="AQ31">
        <f>VLOOKUP($A31,Servings!$C:$Y,19,FALSE)</f>
        <v>0</v>
      </c>
      <c r="AR31">
        <f>VLOOKUP($A31,Servings!$C:$Y,20,FALSE)</f>
        <v>0</v>
      </c>
      <c r="AS31">
        <f>VLOOKUP($A31,Servings!$C:$Y,21,FALSE)</f>
        <v>0</v>
      </c>
      <c r="AT31">
        <f>VLOOKUP($A31,Servings!$C:$Y,22,FALSE)</f>
        <v>0</v>
      </c>
      <c r="AU31">
        <f>VLOOKUP($A31,Servings!$C:$Y,23,FALSE)</f>
        <v>25</v>
      </c>
    </row>
    <row r="32" spans="1:47" x14ac:dyDescent="0.25">
      <c r="A32" s="2" t="s">
        <v>175</v>
      </c>
      <c r="B32" s="2">
        <v>1</v>
      </c>
      <c r="C32" s="2" t="str">
        <f>IF(IFERROR(VLOOKUP(A32, Servings!C:G, 3, FALSE), "")=0, "", IFERROR(VLOOKUP(A32, Servings!C:G, 3, FALSE), ""))</f>
        <v/>
      </c>
      <c r="D32" s="2" t="str">
        <f>IF(IFERROR(VLOOKUP(A32, Servings!C:G, 5, FALSE), "")=0, "", IFERROR(VLOOKUP(A32, Servings!C:G, 5, FALSE), ""))</f>
        <v>softgel</v>
      </c>
      <c r="E32" s="2" t="s">
        <v>157</v>
      </c>
      <c r="F32" s="2"/>
      <c r="G32" s="3">
        <f>B32/AB32</f>
        <v>1</v>
      </c>
      <c r="H32" s="4">
        <f t="shared" ref="H32" si="128">$G32*AD32</f>
        <v>0</v>
      </c>
      <c r="I32" s="4">
        <f t="shared" ref="I32" si="129">$G32*AE32</f>
        <v>0</v>
      </c>
      <c r="J32" s="4">
        <f t="shared" ref="J32" si="130">$G32*AF32</f>
        <v>0</v>
      </c>
      <c r="K32" s="4">
        <f t="shared" ref="K32" si="131">$G32*AG32</f>
        <v>0</v>
      </c>
      <c r="L32" s="4">
        <f t="shared" ref="L32" si="132">$G32*AH32</f>
        <v>0</v>
      </c>
      <c r="M32" s="4">
        <f t="shared" ref="M32" si="133">$G32*AI32</f>
        <v>0</v>
      </c>
      <c r="N32" s="4">
        <f t="shared" ref="N32" si="134">$G32*AJ32</f>
        <v>0</v>
      </c>
      <c r="O32" s="4">
        <f t="shared" ref="O32" si="135">$G32*AK32</f>
        <v>0</v>
      </c>
      <c r="P32" s="4">
        <f t="shared" ref="P32" si="136">$G32*AL32</f>
        <v>0</v>
      </c>
      <c r="Q32" s="4">
        <f t="shared" ref="Q32" si="137">$G32*AM32</f>
        <v>0</v>
      </c>
      <c r="R32" s="4">
        <f t="shared" ref="R32" si="138">$G32*AN32</f>
        <v>0</v>
      </c>
      <c r="S32" s="4">
        <f t="shared" ref="S32" si="139">$G32*AO32</f>
        <v>0</v>
      </c>
      <c r="T32" s="4">
        <f t="shared" ref="T32" si="140">$G32*AP32</f>
        <v>0</v>
      </c>
      <c r="U32" s="4">
        <f t="shared" ref="U32" si="141">$G32*AQ32</f>
        <v>0</v>
      </c>
      <c r="V32" s="4">
        <f t="shared" ref="V32" si="142">$G32*AR32</f>
        <v>0</v>
      </c>
      <c r="W32" s="4">
        <f t="shared" ref="W32" si="143">$G32*AS32</f>
        <v>0</v>
      </c>
      <c r="X32" s="4">
        <f t="shared" ref="X32" si="144">$G32*AT32</f>
        <v>0</v>
      </c>
      <c r="Y32" s="4">
        <f t="shared" ref="Y32" si="145">$G32*AU32</f>
        <v>125</v>
      </c>
      <c r="Z32" s="2">
        <f>IFERROR(VLOOKUP($A32,Servings!$C:$K,2,FALSE),"")</f>
        <v>0</v>
      </c>
      <c r="AA32" s="2">
        <f>VLOOKUP($A32,Servings!$C:$K,3,FALSE)</f>
        <v>0</v>
      </c>
      <c r="AB32" s="2">
        <f>VLOOKUP($A32,Servings!$C:$K,4,FALSE)</f>
        <v>1</v>
      </c>
      <c r="AC32" s="2" t="str">
        <f>VLOOKUP($A32,Servings!$C:$K,5,FALSE)</f>
        <v>softgel</v>
      </c>
      <c r="AD32" s="14">
        <f>VLOOKUP($A32,Servings!$C:$K,6,FALSE)</f>
        <v>0</v>
      </c>
      <c r="AE32" s="2">
        <f>VLOOKUP($A32,Servings!$C:$K,7,FALSE)</f>
        <v>0</v>
      </c>
      <c r="AF32" s="2">
        <f>VLOOKUP($A32,Servings!$C:$K,8,FALSE)</f>
        <v>0</v>
      </c>
      <c r="AG32" s="2">
        <f>VLOOKUP($A32,Servings!$C:$K,9,FALSE)</f>
        <v>0</v>
      </c>
      <c r="AH32">
        <f>VLOOKUP($A32,Servings!$C:$Y,10,FALSE)</f>
        <v>0</v>
      </c>
      <c r="AI32">
        <f>VLOOKUP($A32,Servings!$C:$Y,11,FALSE)</f>
        <v>0</v>
      </c>
      <c r="AJ32">
        <f>VLOOKUP($A32,Servings!$C:$Y,12,FALSE)</f>
        <v>0</v>
      </c>
      <c r="AK32">
        <f>VLOOKUP($A32,Servings!$C:$Y,13,FALSE)</f>
        <v>0</v>
      </c>
      <c r="AL32">
        <f>VLOOKUP($A32,Servings!$C:$Y,14,FALSE)</f>
        <v>0</v>
      </c>
      <c r="AM32">
        <f>VLOOKUP($A32,Servings!$C:$Y,15,FALSE)</f>
        <v>0</v>
      </c>
      <c r="AN32">
        <f>VLOOKUP($A32,Servings!$C:$Y,16,FALSE)</f>
        <v>0</v>
      </c>
      <c r="AO32">
        <f>VLOOKUP($A32,Servings!$C:$Y,17,FALSE)</f>
        <v>0</v>
      </c>
      <c r="AP32">
        <f>VLOOKUP($A32,Servings!$C:$Y,18,FALSE)</f>
        <v>0</v>
      </c>
      <c r="AQ32">
        <f>VLOOKUP($A32,Servings!$C:$Y,19,FALSE)</f>
        <v>0</v>
      </c>
      <c r="AR32">
        <f>VLOOKUP($A32,Servings!$C:$Y,20,FALSE)</f>
        <v>0</v>
      </c>
      <c r="AS32">
        <f>VLOOKUP($A32,Servings!$C:$Y,21,FALSE)</f>
        <v>0</v>
      </c>
      <c r="AT32">
        <f>VLOOKUP($A32,Servings!$C:$Y,22,FALSE)</f>
        <v>0</v>
      </c>
      <c r="AU32">
        <f>VLOOKUP($A32,Servings!$C:$Y,23,FALSE)</f>
        <v>125</v>
      </c>
    </row>
  </sheetData>
  <conditionalFormatting sqref="H10">
    <cfRule type="colorScale" priority="18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17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16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15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L10">
    <cfRule type="colorScale" priority="14">
      <colorScale>
        <cfvo type="formula" val="-$L$6"/>
        <cfvo type="num" val="0"/>
        <cfvo type="formula" val="$L$6"/>
        <color rgb="FF5A8AC6"/>
        <color rgb="FFFCFCFF"/>
        <color rgb="FFF8696B"/>
      </colorScale>
    </cfRule>
  </conditionalFormatting>
  <conditionalFormatting sqref="M10">
    <cfRule type="colorScale" priority="13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12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11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P10">
    <cfRule type="colorScale" priority="10">
      <colorScale>
        <cfvo type="formula" val="-$P$6"/>
        <cfvo type="num" val="0"/>
        <cfvo type="formula" val="$P$6"/>
        <color rgb="FF5A8AC6"/>
        <color rgb="FFFCFCFF"/>
        <color rgb="FFF8696B"/>
      </colorScale>
    </cfRule>
  </conditionalFormatting>
  <conditionalFormatting sqref="Q10">
    <cfRule type="colorScale" priority="9">
      <colorScale>
        <cfvo type="formula" val="-$Q$6"/>
        <cfvo type="num" val="0"/>
        <cfvo type="formula" val="$Q$6"/>
        <color rgb="FF5A8AC6"/>
        <color rgb="FFFCFCFF"/>
        <color rgb="FFF8696B"/>
      </colorScale>
    </cfRule>
  </conditionalFormatting>
  <conditionalFormatting sqref="R10">
    <cfRule type="colorScale" priority="8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S10">
    <cfRule type="colorScale" priority="7">
      <colorScale>
        <cfvo type="formula" val="-$S$6"/>
        <cfvo type="num" val="0"/>
        <cfvo type="formula" val="$S$6"/>
        <color rgb="FF5A8AC6"/>
        <color rgb="FFFCFCFF"/>
        <color rgb="FFF8696B"/>
      </colorScale>
    </cfRule>
  </conditionalFormatting>
  <conditionalFormatting sqref="T10">
    <cfRule type="colorScale" priority="6">
      <colorScale>
        <cfvo type="formula" val="-$T$6"/>
        <cfvo type="num" val="0"/>
        <cfvo type="formula" val="$T$6"/>
        <color rgb="FF5A8AC6"/>
        <color rgb="FFFCFCFF"/>
        <color rgb="FFF8696B"/>
      </colorScale>
    </cfRule>
  </conditionalFormatting>
  <conditionalFormatting sqref="U10">
    <cfRule type="colorScale" priority="5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V10">
    <cfRule type="colorScale" priority="4">
      <colorScale>
        <cfvo type="formula" val="-$V$6"/>
        <cfvo type="num" val="0"/>
        <cfvo type="formula" val="$V$6"/>
        <color rgb="FF5A8AC6"/>
        <color rgb="FFFCFCFF"/>
        <color rgb="FFF8696B"/>
      </colorScale>
    </cfRule>
  </conditionalFormatting>
  <conditionalFormatting sqref="W10">
    <cfRule type="colorScale" priority="3">
      <colorScale>
        <cfvo type="formula" val="-$W$6"/>
        <cfvo type="num" val="0"/>
        <cfvo type="formula" val="$W$6"/>
        <color rgb="FF5A8AC6"/>
        <color rgb="FFFCFCFF"/>
        <color rgb="FFF8696B"/>
      </colorScale>
    </cfRule>
  </conditionalFormatting>
  <conditionalFormatting sqref="X10">
    <cfRule type="colorScale" priority="2">
      <colorScale>
        <cfvo type="formula" val="-$X$6"/>
        <cfvo type="num" val="0"/>
        <cfvo type="formula" val="$X$6"/>
        <color rgb="FF5A8AC6"/>
        <color rgb="FFFCFCFF"/>
        <color rgb="FFF8696B"/>
      </colorScale>
    </cfRule>
  </conditionalFormatting>
  <conditionalFormatting sqref="Y10">
    <cfRule type="colorScale" priority="1">
      <colorScale>
        <cfvo type="formula" val="-$Y$6"/>
        <cfvo type="num" val="0"/>
        <cfvo type="formula" val="$Y$6"/>
        <color rgb="FF5A8AC6"/>
        <color rgb="FFFCFCFF"/>
        <color rgb="FFF8696B"/>
      </colorScale>
    </cfRule>
  </conditionalFormatting>
  <dataValidations count="3">
    <dataValidation type="list" allowBlank="1" showInputMessage="1" showErrorMessage="1" sqref="A13:A32" xr:uid="{0C2C870E-0048-4279-BCEA-FB5CD184302A}">
      <formula1>food_name</formula1>
    </dataValidation>
    <dataValidation type="list" allowBlank="1" showInputMessage="1" showErrorMessage="1" sqref="E13:E32" xr:uid="{9DAFE5D1-83F1-439C-AB3B-F14653DFBD95}">
      <formula1>OFFSET($C13,0,0,1,IF(D13&lt;&gt;"",2,1))</formula1>
    </dataValidation>
    <dataValidation type="list" allowBlank="1" showInputMessage="1" showErrorMessage="1" sqref="G10" xr:uid="{346510B6-7761-4AC7-81A4-E6D8C8711912}">
      <formula1>Type_of_day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192E-363D-4DF3-82E6-84F01A609708}">
  <dimension ref="A2:AX31"/>
  <sheetViews>
    <sheetView tabSelected="1" zoomScaleNormal="100" workbookViewId="0">
      <selection activeCell="I23" sqref="I23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11" bestFit="1" customWidth="1"/>
    <col min="7" max="7" width="13.5703125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hidden="1" customWidth="1"/>
    <col min="27" max="27" width="19" hidden="1" customWidth="1"/>
    <col min="28" max="28" width="23.85546875" hidden="1" customWidth="1"/>
    <col min="29" max="29" width="32.5703125" hidden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x14ac:dyDescent="0.25">
      <c r="H2">
        <f>SUM(I2:K2)</f>
        <v>2858.7</v>
      </c>
      <c r="I2">
        <f>I6*9</f>
        <v>571.5</v>
      </c>
      <c r="J2">
        <f>J6*4</f>
        <v>1574.4</v>
      </c>
      <c r="K2">
        <f>K6*4</f>
        <v>712.8</v>
      </c>
    </row>
    <row r="3" spans="1:47" x14ac:dyDescent="0.25">
      <c r="G3" s="5" t="s">
        <v>52</v>
      </c>
      <c r="H3" s="5" t="s">
        <v>53</v>
      </c>
      <c r="I3" s="5" t="s">
        <v>55</v>
      </c>
      <c r="J3" s="5" t="s">
        <v>56</v>
      </c>
      <c r="K3" s="5" t="s">
        <v>54</v>
      </c>
      <c r="L3" s="11" t="s">
        <v>71</v>
      </c>
      <c r="M3" s="11" t="s">
        <v>72</v>
      </c>
      <c r="N3" s="11" t="s">
        <v>65</v>
      </c>
      <c r="O3" s="11" t="s">
        <v>73</v>
      </c>
      <c r="P3" s="11" t="s">
        <v>74</v>
      </c>
      <c r="Q3" s="11" t="s">
        <v>75</v>
      </c>
      <c r="R3" s="11" t="s">
        <v>66</v>
      </c>
      <c r="S3" s="11" t="s">
        <v>67</v>
      </c>
      <c r="T3" s="11" t="s">
        <v>68</v>
      </c>
      <c r="U3" s="11" t="s">
        <v>69</v>
      </c>
      <c r="V3" s="11" t="s">
        <v>70</v>
      </c>
      <c r="W3" s="11" t="s">
        <v>77</v>
      </c>
      <c r="X3" s="11" t="s">
        <v>78</v>
      </c>
      <c r="Y3" s="11" t="s">
        <v>76</v>
      </c>
    </row>
    <row r="4" spans="1:47" x14ac:dyDescent="0.25">
      <c r="G4" s="19" t="s">
        <v>169</v>
      </c>
      <c r="H4" s="19">
        <f>I4*9+J4*4+K4*4</f>
        <v>2429.5200000000004</v>
      </c>
      <c r="I4" s="19">
        <f>I6*0.8</f>
        <v>50.800000000000004</v>
      </c>
      <c r="J4" s="19">
        <f>J6*0.8</f>
        <v>314.88000000000005</v>
      </c>
      <c r="K4" s="19">
        <f>K6</f>
        <v>178.2</v>
      </c>
      <c r="L4" s="19">
        <v>36</v>
      </c>
      <c r="M4" s="19">
        <v>1000</v>
      </c>
      <c r="N4" s="19">
        <v>38</v>
      </c>
      <c r="O4" s="19">
        <v>8</v>
      </c>
      <c r="P4" s="19">
        <f>I4</f>
        <v>50.800000000000004</v>
      </c>
      <c r="Q4" s="19">
        <f>I4</f>
        <v>50.800000000000004</v>
      </c>
      <c r="R4" s="19">
        <v>3400</v>
      </c>
      <c r="S4" s="19">
        <v>32</v>
      </c>
      <c r="T4" s="19">
        <v>2300</v>
      </c>
      <c r="U4" s="24">
        <f>U9</f>
        <v>49.529785861713108</v>
      </c>
      <c r="V4" s="19">
        <v>2.8</v>
      </c>
      <c r="W4" s="19">
        <v>900</v>
      </c>
      <c r="X4" s="19">
        <v>90</v>
      </c>
      <c r="Y4" s="19">
        <v>20</v>
      </c>
    </row>
    <row r="5" spans="1:47" x14ac:dyDescent="0.25">
      <c r="G5" s="2" t="s">
        <v>57</v>
      </c>
      <c r="H5" s="2">
        <v>2358.6999999999998</v>
      </c>
      <c r="I5" s="2">
        <v>63.5</v>
      </c>
      <c r="J5" s="2">
        <v>268.60000000000002</v>
      </c>
      <c r="K5" s="2">
        <v>178.2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47" x14ac:dyDescent="0.25">
      <c r="G6" s="21" t="s">
        <v>58</v>
      </c>
      <c r="H6" s="19">
        <v>2858.7</v>
      </c>
      <c r="I6" s="19">
        <v>63.5</v>
      </c>
      <c r="J6" s="19">
        <v>393.6</v>
      </c>
      <c r="K6" s="19">
        <v>178.2</v>
      </c>
      <c r="L6" s="19">
        <v>36</v>
      </c>
      <c r="M6" s="19">
        <v>1000</v>
      </c>
      <c r="N6" s="19">
        <v>38</v>
      </c>
      <c r="O6" s="19">
        <v>8</v>
      </c>
      <c r="P6" s="19">
        <f>I6</f>
        <v>63.5</v>
      </c>
      <c r="Q6" s="19">
        <f>I6</f>
        <v>63.5</v>
      </c>
      <c r="R6" s="19">
        <v>3400</v>
      </c>
      <c r="S6" s="19">
        <v>32</v>
      </c>
      <c r="T6" s="19">
        <v>2300</v>
      </c>
      <c r="U6" s="24">
        <f>U9</f>
        <v>49.529785861713108</v>
      </c>
      <c r="V6" s="19">
        <v>2.8</v>
      </c>
      <c r="W6" s="19">
        <v>900</v>
      </c>
      <c r="X6" s="19">
        <v>90</v>
      </c>
      <c r="Y6" s="19">
        <v>20</v>
      </c>
    </row>
    <row r="7" spans="1:47" x14ac:dyDescent="0.25">
      <c r="G7" s="2" t="s">
        <v>59</v>
      </c>
      <c r="H7" s="2">
        <v>2858.7</v>
      </c>
      <c r="I7" s="2">
        <v>63.5</v>
      </c>
      <c r="J7" s="2">
        <v>442.2</v>
      </c>
      <c r="K7" s="2">
        <v>129.6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47" ht="15" customHeight="1" x14ac:dyDescent="0.25">
      <c r="G8" s="2" t="s">
        <v>60</v>
      </c>
      <c r="H8" s="2">
        <v>3358.7</v>
      </c>
      <c r="I8" s="2">
        <v>63.5</v>
      </c>
      <c r="J8" s="2">
        <v>518.6</v>
      </c>
      <c r="K8" s="2">
        <v>178.2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47" ht="15" customHeight="1" x14ac:dyDescent="0.25">
      <c r="G9" s="22" t="s">
        <v>61</v>
      </c>
      <c r="H9" s="4">
        <f>SUM(H13:H1048576)</f>
        <v>2428.6459248611727</v>
      </c>
      <c r="I9" s="4">
        <f>SUM(I13:I1048576)</f>
        <v>49.261738721804512</v>
      </c>
      <c r="J9" s="4">
        <f>SUM(J13:J1048576)</f>
        <v>315.13482927908001</v>
      </c>
      <c r="K9" s="4">
        <f>SUM(K13:K1048576)</f>
        <v>178.04608875128997</v>
      </c>
      <c r="L9" s="4">
        <f>SUM(L13:L1048576)</f>
        <v>8.2280701754385959</v>
      </c>
      <c r="M9" s="4">
        <f>SUM(M13:M1048576)</f>
        <v>810.90306157550731</v>
      </c>
      <c r="N9" s="4">
        <f>SUM(N13:N1048576)</f>
        <v>13.149614845938375</v>
      </c>
      <c r="O9" s="4">
        <f>SUM(O13:O1048576)</f>
        <v>4.4507563025210084</v>
      </c>
      <c r="P9" s="4">
        <f>SUM(P13:P1048576)</f>
        <v>0.5</v>
      </c>
      <c r="Q9" s="4">
        <f>SUM(Q13:Q1048576)</f>
        <v>1</v>
      </c>
      <c r="R9" s="4">
        <f>SUM(R13:R1048576)</f>
        <v>2860.7675530738611</v>
      </c>
      <c r="S9" s="4">
        <f>SUM(S13:S1048576)</f>
        <v>4.8421052631578947</v>
      </c>
      <c r="T9" s="4">
        <f>SUM(T13:T1048576)</f>
        <v>2027.6874355005159</v>
      </c>
      <c r="U9" s="4">
        <f>SUM(U13:U1048576)</f>
        <v>49.529785861713108</v>
      </c>
      <c r="V9" s="4">
        <f>SUM(V13:V1048576)</f>
        <v>0</v>
      </c>
      <c r="W9" s="4">
        <f>SUM(W13:W1048576)</f>
        <v>1032.3529411764707</v>
      </c>
      <c r="X9" s="4">
        <f>SUM(X13:X1048576)</f>
        <v>39.788235294117648</v>
      </c>
      <c r="Y9" s="4">
        <f>SUM(Y13:Y1048576)</f>
        <v>172.86842105263159</v>
      </c>
    </row>
    <row r="10" spans="1:47" ht="15" customHeight="1" x14ac:dyDescent="0.25">
      <c r="F10" s="11" t="s">
        <v>255</v>
      </c>
      <c r="G10" s="5" t="s">
        <v>169</v>
      </c>
      <c r="H10" s="23">
        <f>H9-VLOOKUP($G10,$G$3:$Y$8,COLUMN(H3)-6,FALSE)</f>
        <v>-0.87407513882772037</v>
      </c>
      <c r="I10" s="23">
        <f>I9-VLOOKUP($G10,$G$3:$Y$8,COLUMN(I3)-6,FALSE)</f>
        <v>-1.5382612781954919</v>
      </c>
      <c r="J10" s="23">
        <f>J9-VLOOKUP($G10,$G$3:$Y$8,COLUMN(J3)-6,FALSE)</f>
        <v>0.25482927907995645</v>
      </c>
      <c r="K10" s="23">
        <f>K9-VLOOKUP($G10,$G$3:$Y$8,COLUMN(K3)-6,FALSE)</f>
        <v>-0.15391124871001693</v>
      </c>
      <c r="L10" s="23">
        <f>L9-VLOOKUP($G10,$G$3:$Y$8,COLUMN(L3)-6,FALSE)</f>
        <v>-27.771929824561404</v>
      </c>
      <c r="M10" s="23">
        <f>M9-VLOOKUP($G10,$G$3:$Y$8,COLUMN(M3)-6,FALSE)</f>
        <v>-189.09693842449269</v>
      </c>
      <c r="N10" s="23">
        <f>N9-VLOOKUP($G10,$G$3:$Y$8,COLUMN(N3)-6,FALSE)</f>
        <v>-24.850385154061627</v>
      </c>
      <c r="O10" s="23">
        <f>O9-VLOOKUP($G10,$G$3:$Y$8,COLUMN(O3)-6,FALSE)</f>
        <v>-3.5492436974789916</v>
      </c>
      <c r="P10" s="23">
        <f>P9-VLOOKUP($G10,$G$3:$Y$8,COLUMN(P3)-6,FALSE)</f>
        <v>-50.300000000000004</v>
      </c>
      <c r="Q10" s="23">
        <f>Q9-VLOOKUP($G10,$G$3:$Y$8,COLUMN(Q3)-6,FALSE)</f>
        <v>-49.800000000000004</v>
      </c>
      <c r="R10" s="23">
        <f>R9-VLOOKUP($G10,$G$3:$Y$8,COLUMN(R3)-6,FALSE)</f>
        <v>-539.23244692613889</v>
      </c>
      <c r="S10" s="23">
        <f>S9-VLOOKUP($G10,$G$3:$Y$8,COLUMN(S3)-6,FALSE)</f>
        <v>-27.157894736842106</v>
      </c>
      <c r="T10" s="23">
        <f>T9-VLOOKUP($G10,$G$3:$Y$8,COLUMN(T3)-6,FALSE)</f>
        <v>-272.3125644994841</v>
      </c>
      <c r="U10" s="23">
        <f>U9-VLOOKUP($G10,$G$3:$Y$8,COLUMN(U3)-6,FALSE)</f>
        <v>0</v>
      </c>
      <c r="V10" s="23">
        <f>V9-VLOOKUP($G10,$G$3:$Y$8,COLUMN(V3)-6,FALSE)</f>
        <v>-2.8</v>
      </c>
      <c r="W10" s="23">
        <f>W9-VLOOKUP($G10,$G$3:$Y$8,COLUMN(W3)-6,FALSE)</f>
        <v>132.35294117647072</v>
      </c>
      <c r="X10" s="23">
        <f>X9-VLOOKUP($G10,$G$3:$Y$8,COLUMN(X3)-6,FALSE)</f>
        <v>-50.211764705882352</v>
      </c>
      <c r="Y10" s="23">
        <f>Y9-VLOOKUP($G10,$G$3:$Y$8,COLUMN(Y3)-6,FALSE)</f>
        <v>152.86842105263159</v>
      </c>
    </row>
    <row r="11" spans="1:47" ht="15" customHeight="1" thickBot="1" x14ac:dyDescent="0.3">
      <c r="K11" s="6"/>
      <c r="L11" t="s">
        <v>256</v>
      </c>
      <c r="S11" t="s">
        <v>256</v>
      </c>
      <c r="V11" t="s">
        <v>256</v>
      </c>
    </row>
    <row r="12" spans="1:47" ht="15" customHeight="1" thickTop="1" thickBot="1" x14ac:dyDescent="0.3">
      <c r="A12" s="15"/>
      <c r="B12" s="15"/>
      <c r="C12" s="15"/>
      <c r="D12" s="15"/>
      <c r="E12" s="15"/>
      <c r="F12" s="15"/>
      <c r="G12" s="16" t="s">
        <v>43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71</v>
      </c>
      <c r="M12" s="11" t="s">
        <v>72</v>
      </c>
      <c r="N12" s="11" t="s">
        <v>65</v>
      </c>
      <c r="O12" s="11" t="s">
        <v>73</v>
      </c>
      <c r="P12" s="11" t="s">
        <v>74</v>
      </c>
      <c r="Q12" s="11" t="s">
        <v>75</v>
      </c>
      <c r="R12" s="11" t="s">
        <v>66</v>
      </c>
      <c r="S12" s="11" t="s">
        <v>67</v>
      </c>
      <c r="T12" s="11" t="s">
        <v>68</v>
      </c>
      <c r="U12" s="11" t="s">
        <v>69</v>
      </c>
      <c r="V12" s="11" t="s">
        <v>70</v>
      </c>
      <c r="W12" s="11" t="s">
        <v>77</v>
      </c>
      <c r="X12" s="11" t="s">
        <v>78</v>
      </c>
      <c r="Y12" s="11" t="s">
        <v>76</v>
      </c>
      <c r="Z12" s="17" t="s">
        <v>3</v>
      </c>
      <c r="AA12" s="17" t="s">
        <v>4</v>
      </c>
      <c r="AB12" s="17" t="s">
        <v>9</v>
      </c>
      <c r="AC12" s="17" t="s">
        <v>10</v>
      </c>
      <c r="AD12" s="13" t="s">
        <v>5</v>
      </c>
      <c r="AE12" s="7" t="s">
        <v>6</v>
      </c>
      <c r="AF12" s="7" t="s">
        <v>7</v>
      </c>
      <c r="AG12" s="7" t="s">
        <v>8</v>
      </c>
      <c r="AH12" s="7" t="s">
        <v>71</v>
      </c>
      <c r="AI12" s="7" t="s">
        <v>72</v>
      </c>
      <c r="AJ12" s="7" t="s">
        <v>65</v>
      </c>
      <c r="AK12" s="7" t="s">
        <v>73</v>
      </c>
      <c r="AL12" s="7" t="s">
        <v>74</v>
      </c>
      <c r="AM12" s="7" t="s">
        <v>75</v>
      </c>
      <c r="AN12" s="7" t="s">
        <v>66</v>
      </c>
      <c r="AO12" s="7" t="s">
        <v>67</v>
      </c>
      <c r="AP12" s="7" t="s">
        <v>68</v>
      </c>
      <c r="AQ12" s="7" t="s">
        <v>69</v>
      </c>
      <c r="AR12" s="7" t="s">
        <v>70</v>
      </c>
      <c r="AS12" s="7" t="s">
        <v>77</v>
      </c>
      <c r="AT12" s="7" t="s">
        <v>78</v>
      </c>
      <c r="AU12" s="7" t="s">
        <v>76</v>
      </c>
    </row>
    <row r="13" spans="1:47" ht="15" customHeight="1" thickTop="1" x14ac:dyDescent="0.25">
      <c r="A13" s="2" t="s">
        <v>26</v>
      </c>
      <c r="B13" s="2">
        <v>2</v>
      </c>
      <c r="C13" s="2" t="str">
        <f>IF(IFERROR(VLOOKUP(A13, Servings!C:G, 3, FALSE), "")=0, "", IFERROR(VLOOKUP(A13, Servings!C:G, 3, FALSE), ""))</f>
        <v/>
      </c>
      <c r="D13" s="2" t="str">
        <f>IF(IFERROR(VLOOKUP(A13, Servings!C:G, 5, FALSE), "")=0, "", IFERROR(VLOOKUP(A13, Servings!C:G, 5, FALSE), ""))</f>
        <v>gummies</v>
      </c>
      <c r="E13" s="2" t="s">
        <v>33</v>
      </c>
      <c r="F13" s="19" t="s">
        <v>240</v>
      </c>
      <c r="G13" s="3">
        <f>IF(E13=AC13, B13/AB13, IF(E13=AA13, B13/Z13, "Condition not met"))</f>
        <v>1</v>
      </c>
      <c r="H13" s="4">
        <f>$G13*AD13</f>
        <v>15</v>
      </c>
      <c r="I13" s="4">
        <f t="shared" ref="I13:W14" si="0">$G13*AE13</f>
        <v>0</v>
      </c>
      <c r="J13" s="4">
        <f t="shared" si="0"/>
        <v>4</v>
      </c>
      <c r="K13" s="4">
        <f t="shared" si="0"/>
        <v>0</v>
      </c>
      <c r="L13" s="4">
        <f t="shared" si="0"/>
        <v>3</v>
      </c>
      <c r="M13" s="4">
        <f t="shared" si="0"/>
        <v>3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0"/>
        <v>10</v>
      </c>
      <c r="U13" s="4">
        <f t="shared" si="0"/>
        <v>3</v>
      </c>
      <c r="V13" s="4">
        <f t="shared" si="0"/>
        <v>0</v>
      </c>
      <c r="W13" s="4">
        <f t="shared" si="0"/>
        <v>720</v>
      </c>
      <c r="X13" s="4">
        <f t="shared" ref="X13:Y14" si="1">$G13*AT13</f>
        <v>36</v>
      </c>
      <c r="Y13" s="4">
        <f t="shared" si="1"/>
        <v>25</v>
      </c>
      <c r="Z13" s="2">
        <f>VLOOKUP($A13,Servings!$C:$K,2,FALSE)</f>
        <v>0</v>
      </c>
      <c r="AA13" s="2">
        <f>VLOOKUP($A13,Servings!$C:$K,3,FALSE)</f>
        <v>0</v>
      </c>
      <c r="AB13" s="2">
        <f>VLOOKUP($A13,Servings!$C:$K,4,FALSE)</f>
        <v>2</v>
      </c>
      <c r="AC13" s="2" t="str">
        <f>VLOOKUP($A13,Servings!$C:$K,5,FALSE)</f>
        <v>gummies</v>
      </c>
      <c r="AD13" s="14">
        <f>VLOOKUP($A13,Servings!$C:$K,6,FALSE)</f>
        <v>15</v>
      </c>
      <c r="AE13" s="2">
        <f>VLOOKUP($A13,Servings!$C:$K,7,FALSE)</f>
        <v>0</v>
      </c>
      <c r="AF13" s="2">
        <f>VLOOKUP($A13,Servings!$C:$K,8,FALSE)</f>
        <v>4</v>
      </c>
      <c r="AG13" s="2">
        <f>VLOOKUP($A13,Servings!$C:$K,9,FALSE)</f>
        <v>0</v>
      </c>
      <c r="AH13">
        <f>VLOOKUP($A13,Servings!$C:$Y,10,FALSE)</f>
        <v>3</v>
      </c>
      <c r="AI13">
        <f>VLOOKUP($A13,Servings!$C:$Y,11,FALSE)</f>
        <v>3</v>
      </c>
      <c r="AJ13">
        <f>VLOOKUP($A13,Servings!$C:$Y,12,FALSE)</f>
        <v>0</v>
      </c>
      <c r="AK13">
        <f>VLOOKUP($A13,Servings!$C:$Y,13,FALSE)</f>
        <v>0</v>
      </c>
      <c r="AL13">
        <f>VLOOKUP($A13,Servings!$C:$Y,14,FALSE)</f>
        <v>0</v>
      </c>
      <c r="AM13">
        <f>VLOOKUP($A13,Servings!$C:$Y,15,FALSE)</f>
        <v>0</v>
      </c>
      <c r="AN13">
        <f>VLOOKUP($A13,Servings!$C:$Y,16,FALSE)</f>
        <v>0</v>
      </c>
      <c r="AO13">
        <f>VLOOKUP($A13,Servings!$C:$Y,17,FALSE)</f>
        <v>0</v>
      </c>
      <c r="AP13">
        <f>VLOOKUP($A13,Servings!$C:$Y,18,FALSE)</f>
        <v>10</v>
      </c>
      <c r="AQ13">
        <f>VLOOKUP($A13,Servings!$C:$Y,19,FALSE)</f>
        <v>3</v>
      </c>
      <c r="AR13">
        <f>VLOOKUP($A13,Servings!$C:$Y,20,FALSE)</f>
        <v>0</v>
      </c>
      <c r="AS13">
        <f>VLOOKUP($A13,Servings!$C:$Y,21,FALSE)</f>
        <v>720</v>
      </c>
      <c r="AT13">
        <f>VLOOKUP($A13,Servings!$C:$Y,22,FALSE)</f>
        <v>36</v>
      </c>
      <c r="AU13">
        <f>VLOOKUP($A13,Servings!$C:$Y,23,FALSE)</f>
        <v>25</v>
      </c>
    </row>
    <row r="14" spans="1:47" ht="15" customHeight="1" x14ac:dyDescent="0.25">
      <c r="A14" s="2" t="s">
        <v>160</v>
      </c>
      <c r="B14" s="2">
        <v>1</v>
      </c>
      <c r="C14" s="2" t="str">
        <f>IF(IFERROR(VLOOKUP(A14, Servings!C:G, 3, FALSE), "")=0, "", IFERROR(VLOOKUP(A14, Servings!C:G, 3, FALSE), ""))</f>
        <v/>
      </c>
      <c r="D14" s="2" t="str">
        <f>IF(IFERROR(VLOOKUP(A14, Servings!C:G, 5, FALSE), "")=0, "", IFERROR(VLOOKUP(A14, Servings!C:G, 5, FALSE), ""))</f>
        <v>capsule</v>
      </c>
      <c r="E14" s="2" t="s">
        <v>161</v>
      </c>
      <c r="F14" s="19" t="s">
        <v>240</v>
      </c>
      <c r="G14" s="3">
        <f>IF(E14=AC14, B14/AB14, IF(E14=AA14, B14/Z14, "Condition not met"))</f>
        <v>0.5</v>
      </c>
      <c r="H14" s="4">
        <f>$G14*AD14</f>
        <v>2.5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325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0"/>
        <v>2.5</v>
      </c>
      <c r="U14" s="4">
        <f t="shared" si="0"/>
        <v>0</v>
      </c>
      <c r="V14" s="4">
        <f t="shared" si="0"/>
        <v>0</v>
      </c>
      <c r="W14" s="4">
        <f t="shared" si="0"/>
        <v>0</v>
      </c>
      <c r="X14" s="4">
        <f t="shared" si="1"/>
        <v>0</v>
      </c>
      <c r="Y14" s="4">
        <f t="shared" si="1"/>
        <v>12.5</v>
      </c>
      <c r="Z14" s="2">
        <f>VLOOKUP($A14,Servings!$C:$K,2,FALSE)</f>
        <v>0</v>
      </c>
      <c r="AA14" s="2">
        <f>VLOOKUP($A14,Servings!$C:$K,3,FALSE)</f>
        <v>0</v>
      </c>
      <c r="AB14" s="2">
        <f>VLOOKUP($A14,Servings!$C:$K,4,FALSE)</f>
        <v>2</v>
      </c>
      <c r="AC14" s="2" t="str">
        <f>VLOOKUP($A14,Servings!$C:$K,5,FALSE)</f>
        <v>capsule</v>
      </c>
      <c r="AD14" s="14">
        <f>VLOOKUP($A14,Servings!$C:$K,6,FALSE)</f>
        <v>5</v>
      </c>
      <c r="AE14" s="2">
        <f>VLOOKUP($A14,Servings!$C:$K,7,FALSE)</f>
        <v>0</v>
      </c>
      <c r="AF14" s="2">
        <f>VLOOKUP($A14,Servings!$C:$K,8,FALSE)</f>
        <v>0</v>
      </c>
      <c r="AG14" s="2">
        <f>VLOOKUP($A14,Servings!$C:$K,9,FALSE)</f>
        <v>0</v>
      </c>
      <c r="AH14">
        <f>VLOOKUP($A14,Servings!$C:$Y,10,FALSE)</f>
        <v>0</v>
      </c>
      <c r="AI14">
        <f>VLOOKUP($A14,Servings!$C:$Y,11,FALSE)</f>
        <v>650</v>
      </c>
      <c r="AJ14">
        <f>VLOOKUP($A14,Servings!$C:$Y,12,FALSE)</f>
        <v>0</v>
      </c>
      <c r="AK14">
        <f>VLOOKUP($A14,Servings!$C:$Y,13,FALSE)</f>
        <v>0</v>
      </c>
      <c r="AL14">
        <f>VLOOKUP($A14,Servings!$C:$Y,14,FALSE)</f>
        <v>0</v>
      </c>
      <c r="AM14">
        <f>VLOOKUP($A14,Servings!$C:$Y,15,FALSE)</f>
        <v>0</v>
      </c>
      <c r="AN14">
        <f>VLOOKUP($A14,Servings!$C:$Y,16,FALSE)</f>
        <v>0</v>
      </c>
      <c r="AO14">
        <f>VLOOKUP($A14,Servings!$C:$Y,17,FALSE)</f>
        <v>0</v>
      </c>
      <c r="AP14">
        <f>VLOOKUP($A14,Servings!$C:$Y,18,FALSE)</f>
        <v>5</v>
      </c>
      <c r="AQ14">
        <f>VLOOKUP($A14,Servings!$C:$Y,19,FALSE)</f>
        <v>0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25</v>
      </c>
    </row>
    <row r="15" spans="1:47" x14ac:dyDescent="0.25">
      <c r="A15" s="2" t="s">
        <v>175</v>
      </c>
      <c r="B15" s="2">
        <v>1</v>
      </c>
      <c r="C15" s="2" t="str">
        <f>IF(IFERROR(VLOOKUP(A15, Servings!C:G, 3, FALSE), "")=0, "", IFERROR(VLOOKUP(A15, Servings!C:G, 3, FALSE), ""))</f>
        <v/>
      </c>
      <c r="D15" s="2" t="str">
        <f>IF(IFERROR(VLOOKUP(A15, Servings!C:G, 5, FALSE), "")=0, "", IFERROR(VLOOKUP(A15, Servings!C:G, 5, FALSE), ""))</f>
        <v>softgel</v>
      </c>
      <c r="E15" s="2" t="s">
        <v>157</v>
      </c>
      <c r="F15" s="19" t="s">
        <v>240</v>
      </c>
      <c r="G15" s="3">
        <f>IF(E15=AC15, B15/AB15, IF(E15=AA15, B15/Z15, "Condition not met"))</f>
        <v>1</v>
      </c>
      <c r="H15" s="4">
        <f>$G15*AD15</f>
        <v>0</v>
      </c>
      <c r="I15" s="4">
        <f t="shared" ref="I15:I21" si="2">$G15*AE15</f>
        <v>0</v>
      </c>
      <c r="J15" s="4">
        <f t="shared" ref="J15:J21" si="3">$G15*AF15</f>
        <v>0</v>
      </c>
      <c r="K15" s="4">
        <f t="shared" ref="K15:K21" si="4">$G15*AG15</f>
        <v>0</v>
      </c>
      <c r="L15" s="4">
        <f t="shared" ref="L15:L21" si="5">$G15*AH15</f>
        <v>0</v>
      </c>
      <c r="M15" s="4">
        <f t="shared" ref="M15:M21" si="6">$G15*AI15</f>
        <v>0</v>
      </c>
      <c r="N15" s="4">
        <f t="shared" ref="N15:N21" si="7">$G15*AJ15</f>
        <v>0</v>
      </c>
      <c r="O15" s="4">
        <f t="shared" ref="O15:O21" si="8">$G15*AK15</f>
        <v>0</v>
      </c>
      <c r="P15" s="4">
        <f t="shared" ref="P15:P21" si="9">$G15*AL15</f>
        <v>0</v>
      </c>
      <c r="Q15" s="4">
        <f t="shared" ref="Q15:Q21" si="10">$G15*AM15</f>
        <v>0</v>
      </c>
      <c r="R15" s="4">
        <f t="shared" ref="R15:R21" si="11">$G15*AN15</f>
        <v>0</v>
      </c>
      <c r="S15" s="4">
        <f t="shared" ref="S15:S21" si="12">$G15*AO15</f>
        <v>0</v>
      </c>
      <c r="T15" s="4">
        <f t="shared" ref="T15:T21" si="13">$G15*AP15</f>
        <v>0</v>
      </c>
      <c r="U15" s="4">
        <f t="shared" ref="U15:U21" si="14">$G15*AQ15</f>
        <v>0</v>
      </c>
      <c r="V15" s="4">
        <f t="shared" ref="V15:V21" si="15">$G15*AR15</f>
        <v>0</v>
      </c>
      <c r="W15" s="4">
        <f t="shared" ref="W15:W21" si="16">$G15*AS15</f>
        <v>0</v>
      </c>
      <c r="X15" s="4">
        <f t="shared" ref="X15:X21" si="17">$G15*AT15</f>
        <v>0</v>
      </c>
      <c r="Y15" s="4">
        <f t="shared" ref="Y15:Y21" si="18">$G15*AU15</f>
        <v>125</v>
      </c>
      <c r="Z15" s="2">
        <f>VLOOKUP($A15,Servings!$C:$K,2,FALSE)</f>
        <v>0</v>
      </c>
      <c r="AA15" s="2">
        <f>VLOOKUP($A15,Servings!$C:$K,3,FALSE)</f>
        <v>0</v>
      </c>
      <c r="AB15" s="2">
        <f>VLOOKUP($A15,Servings!$C:$K,4,FALSE)</f>
        <v>1</v>
      </c>
      <c r="AC15" s="2" t="str">
        <f>VLOOKUP($A15,Servings!$C:$K,5,FALSE)</f>
        <v>softgel</v>
      </c>
      <c r="AD15" s="14">
        <f>VLOOKUP($A15,Servings!$C:$K,6,FALSE)</f>
        <v>0</v>
      </c>
      <c r="AE15" s="2">
        <f>VLOOKUP($A15,Servings!$C:$K,7,FALSE)</f>
        <v>0</v>
      </c>
      <c r="AF15" s="2">
        <f>VLOOKUP($A15,Servings!$C:$K,8,FALSE)</f>
        <v>0</v>
      </c>
      <c r="AG15" s="2">
        <f>VLOOKUP($A15,Servings!$C:$K,9,FALSE)</f>
        <v>0</v>
      </c>
      <c r="AH15">
        <f>VLOOKUP($A15,Servings!$C:$Y,10,FALSE)</f>
        <v>0</v>
      </c>
      <c r="AI15">
        <f>VLOOKUP($A15,Servings!$C:$Y,11,FALSE)</f>
        <v>0</v>
      </c>
      <c r="AJ15">
        <f>VLOOKUP($A15,Servings!$C:$Y,12,FALSE)</f>
        <v>0</v>
      </c>
      <c r="AK15">
        <f>VLOOKUP($A15,Servings!$C:$Y,13,FALSE)</f>
        <v>0</v>
      </c>
      <c r="AL15">
        <f>VLOOKUP($A15,Servings!$C:$Y,14,FALSE)</f>
        <v>0</v>
      </c>
      <c r="AM15">
        <f>VLOOKUP($A15,Servings!$C:$Y,15,FALSE)</f>
        <v>0</v>
      </c>
      <c r="AN15">
        <f>VLOOKUP($A15,Servings!$C:$Y,16,FALSE)</f>
        <v>0</v>
      </c>
      <c r="AO15">
        <f>VLOOKUP($A15,Servings!$C:$Y,17,FALSE)</f>
        <v>0</v>
      </c>
      <c r="AP15">
        <f>VLOOKUP($A15,Servings!$C:$Y,18,FALSE)</f>
        <v>0</v>
      </c>
      <c r="AQ15">
        <f>VLOOKUP($A15,Servings!$C:$Y,19,FALSE)</f>
        <v>0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125</v>
      </c>
    </row>
    <row r="16" spans="1:47" x14ac:dyDescent="0.25">
      <c r="A16" s="2" t="s">
        <v>152</v>
      </c>
      <c r="B16" s="2">
        <v>2</v>
      </c>
      <c r="C16" s="2" t="str">
        <f>IF(IFERROR(VLOOKUP(A16, Servings!C:G, 3, FALSE), "")=0, "", IFERROR(VLOOKUP(A16, Servings!C:G, 3, FALSE), ""))</f>
        <v/>
      </c>
      <c r="D16" s="2" t="str">
        <f>IF(IFERROR(VLOOKUP(A16, Servings!C:G, 5, FALSE), "")=0, "", IFERROR(VLOOKUP(A16, Servings!C:G, 5, FALSE), ""))</f>
        <v>softgels</v>
      </c>
      <c r="E16" s="2" t="s">
        <v>153</v>
      </c>
      <c r="F16" s="19" t="s">
        <v>240</v>
      </c>
      <c r="G16" s="3">
        <f>IF(E16=AC16, B16/AB16, IF(E16=AA16, B16/Z16, "Condition not met"))</f>
        <v>1</v>
      </c>
      <c r="H16" s="4">
        <f>$G16*AD16</f>
        <v>35</v>
      </c>
      <c r="I16" s="4">
        <f t="shared" si="2"/>
        <v>3</v>
      </c>
      <c r="J16" s="4">
        <f t="shared" si="3"/>
        <v>1</v>
      </c>
      <c r="K16" s="4">
        <f t="shared" si="4"/>
        <v>0.5</v>
      </c>
      <c r="L16" s="4">
        <f t="shared" si="5"/>
        <v>0</v>
      </c>
      <c r="M16" s="4">
        <f t="shared" si="6"/>
        <v>0</v>
      </c>
      <c r="N16" s="4">
        <f t="shared" si="7"/>
        <v>0</v>
      </c>
      <c r="O16" s="4">
        <f t="shared" si="8"/>
        <v>0</v>
      </c>
      <c r="P16" s="4">
        <f t="shared" si="9"/>
        <v>0.5</v>
      </c>
      <c r="Q16" s="4">
        <f t="shared" si="10"/>
        <v>1</v>
      </c>
      <c r="R16" s="4">
        <f t="shared" si="11"/>
        <v>0</v>
      </c>
      <c r="S16" s="4">
        <f t="shared" si="12"/>
        <v>1</v>
      </c>
      <c r="T16" s="4">
        <f t="shared" si="13"/>
        <v>0</v>
      </c>
      <c r="U16" s="4">
        <f t="shared" si="14"/>
        <v>0</v>
      </c>
      <c r="V16" s="4">
        <f t="shared" si="15"/>
        <v>0</v>
      </c>
      <c r="W16" s="4">
        <f t="shared" si="16"/>
        <v>0</v>
      </c>
      <c r="X16" s="4">
        <f t="shared" si="17"/>
        <v>0</v>
      </c>
      <c r="Y16" s="4">
        <f t="shared" si="18"/>
        <v>0</v>
      </c>
      <c r="Z16" s="2">
        <f>VLOOKUP($A16,Servings!$C:$K,2,FALSE)</f>
        <v>0</v>
      </c>
      <c r="AA16" s="2">
        <f>VLOOKUP($A16,Servings!$C:$K,3,FALSE)</f>
        <v>0</v>
      </c>
      <c r="AB16" s="2">
        <f>VLOOKUP($A16,Servings!$C:$K,4,FALSE)</f>
        <v>2</v>
      </c>
      <c r="AC16" s="2" t="str">
        <f>VLOOKUP($A16,Servings!$C:$K,5,FALSE)</f>
        <v>softgels</v>
      </c>
      <c r="AD16" s="14">
        <f>VLOOKUP($A16,Servings!$C:$K,6,FALSE)</f>
        <v>35</v>
      </c>
      <c r="AE16" s="2">
        <f>VLOOKUP($A16,Servings!$C:$K,7,FALSE)</f>
        <v>3</v>
      </c>
      <c r="AF16" s="2">
        <f>VLOOKUP($A16,Servings!$C:$K,8,FALSE)</f>
        <v>1</v>
      </c>
      <c r="AG16" s="2">
        <f>VLOOKUP($A16,Servings!$C:$K,9,FALSE)</f>
        <v>0.5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0.5</v>
      </c>
      <c r="AM16">
        <f>VLOOKUP($A16,Servings!$C:$Y,15,FALSE)</f>
        <v>1</v>
      </c>
      <c r="AN16">
        <f>VLOOKUP($A16,Servings!$C:$Y,16,FALSE)</f>
        <v>0</v>
      </c>
      <c r="AO16">
        <f>VLOOKUP($A16,Servings!$C:$Y,17,FALSE)</f>
        <v>1</v>
      </c>
      <c r="AP16">
        <f>VLOOKUP($A16,Servings!$C:$Y,18,FALSE)</f>
        <v>0</v>
      </c>
      <c r="AQ16">
        <f>VLOOKUP($A16,Servings!$C:$Y,19,FALSE)</f>
        <v>0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x14ac:dyDescent="0.25">
      <c r="A17" s="2" t="s">
        <v>156</v>
      </c>
      <c r="B17" s="2">
        <v>1</v>
      </c>
      <c r="C17" s="2" t="str">
        <f>IF(IFERROR(VLOOKUP(A17, Servings!C:G, 3, FALSE), "")=0, "", IFERROR(VLOOKUP(A17, Servings!C:G, 3, FALSE), ""))</f>
        <v/>
      </c>
      <c r="D17" s="2" t="str">
        <f>IF(IFERROR(VLOOKUP(A17, Servings!C:G, 5, FALSE), "")=0, "", IFERROR(VLOOKUP(A17, Servings!C:G, 5, FALSE), ""))</f>
        <v>softgel</v>
      </c>
      <c r="E17" s="2" t="s">
        <v>157</v>
      </c>
      <c r="F17" s="19" t="s">
        <v>240</v>
      </c>
      <c r="G17" s="3">
        <f>IF(E17=AC17, B17/AB17, IF(E17=AA17, B17/Z17, "Condition not met"))</f>
        <v>1</v>
      </c>
      <c r="H17" s="4">
        <f>$G17*AD17</f>
        <v>10</v>
      </c>
      <c r="I17" s="4">
        <f t="shared" si="2"/>
        <v>0.5</v>
      </c>
      <c r="J17" s="4">
        <f t="shared" si="3"/>
        <v>0</v>
      </c>
      <c r="K17" s="4">
        <f t="shared" si="4"/>
        <v>0</v>
      </c>
      <c r="L17" s="4">
        <f t="shared" si="5"/>
        <v>0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 t="shared" si="9"/>
        <v>0</v>
      </c>
      <c r="Q17" s="4">
        <f t="shared" si="10"/>
        <v>0</v>
      </c>
      <c r="R17" s="4">
        <f t="shared" si="11"/>
        <v>0</v>
      </c>
      <c r="S17" s="4">
        <f t="shared" si="12"/>
        <v>0.5</v>
      </c>
      <c r="T17" s="4">
        <f t="shared" si="13"/>
        <v>0</v>
      </c>
      <c r="U17" s="4">
        <f t="shared" si="14"/>
        <v>0</v>
      </c>
      <c r="V17" s="4">
        <f t="shared" si="15"/>
        <v>0</v>
      </c>
      <c r="W17" s="4">
        <f t="shared" si="16"/>
        <v>0</v>
      </c>
      <c r="X17" s="4">
        <f t="shared" si="17"/>
        <v>0</v>
      </c>
      <c r="Y17" s="4">
        <f t="shared" si="18"/>
        <v>0</v>
      </c>
      <c r="Z17" s="2">
        <f>VLOOKUP($A17,Servings!$C:$K,2,FALSE)</f>
        <v>0</v>
      </c>
      <c r="AA17" s="2">
        <f>VLOOKUP($A17,Servings!$C:$K,3,FALSE)</f>
        <v>0</v>
      </c>
      <c r="AB17" s="2">
        <f>VLOOKUP($A17,Servings!$C:$K,4,FALSE)</f>
        <v>1</v>
      </c>
      <c r="AC17" s="2" t="str">
        <f>VLOOKUP($A17,Servings!$C:$K,5,FALSE)</f>
        <v>softgel</v>
      </c>
      <c r="AD17" s="14">
        <f>VLOOKUP($A17,Servings!$C:$K,6,FALSE)</f>
        <v>10</v>
      </c>
      <c r="AE17" s="2">
        <f>VLOOKUP($A17,Servings!$C:$K,7,FALSE)</f>
        <v>0.5</v>
      </c>
      <c r="AF17" s="2">
        <f>VLOOKUP($A17,Servings!$C:$K,8,FALSE)</f>
        <v>0</v>
      </c>
      <c r="AG17" s="2">
        <f>VLOOKUP($A17,Servings!$C:$K,9,FALSE)</f>
        <v>0</v>
      </c>
      <c r="AH17">
        <f>VLOOKUP($A17,Servings!$C:$Y,10,FALSE)</f>
        <v>0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0</v>
      </c>
      <c r="AO17">
        <f>VLOOKUP($A17,Servings!$C:$Y,17,FALSE)</f>
        <v>0.5</v>
      </c>
      <c r="AP17">
        <f>VLOOKUP($A17,Servings!$C:$Y,18,FALSE)</f>
        <v>0</v>
      </c>
      <c r="AQ17">
        <f>VLOOKUP($A17,Servings!$C:$Y,19,FALSE)</f>
        <v>0</v>
      </c>
      <c r="AR17">
        <f>VLOOKUP($A17,Servings!$C:$Y,20,FALSE)</f>
        <v>0</v>
      </c>
      <c r="AS17">
        <f>VLOOKUP($A17,Servings!$C:$Y,21,FALSE)</f>
        <v>0</v>
      </c>
      <c r="AT17">
        <f>VLOOKUP($A17,Servings!$C:$Y,22,FALSE)</f>
        <v>0</v>
      </c>
      <c r="AU17">
        <f>VLOOKUP($A17,Servings!$C:$Y,23,FALSE)</f>
        <v>0</v>
      </c>
    </row>
    <row r="18" spans="1:47" x14ac:dyDescent="0.25">
      <c r="A18" s="2" t="s">
        <v>148</v>
      </c>
      <c r="B18" s="2">
        <v>5</v>
      </c>
      <c r="C18" s="2" t="str">
        <f>IF(IFERROR(VLOOKUP(A18, Servings!C:G, 3, FALSE), "")=0, "", IFERROR(VLOOKUP(A18, Servings!C:G, 3, FALSE), ""))</f>
        <v>g</v>
      </c>
      <c r="D18" s="2" t="str">
        <f>IF(IFERROR(VLOOKUP(A18, Servings!C:G, 5, FALSE), "")=0, "", IFERROR(VLOOKUP(A18, Servings!C:G, 5, FALSE), ""))</f>
        <v>tsp</v>
      </c>
      <c r="E18" s="2" t="s">
        <v>28</v>
      </c>
      <c r="F18" s="19" t="s">
        <v>240</v>
      </c>
      <c r="G18" s="3">
        <f>IF(E18=AC18, B18/AB18, IF(E18=AA18, B18/Z18, "Condition not met"))</f>
        <v>1</v>
      </c>
      <c r="H18" s="4">
        <f>$G18*AD18</f>
        <v>0</v>
      </c>
      <c r="I18" s="4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0</v>
      </c>
      <c r="M18" s="4">
        <f t="shared" si="6"/>
        <v>0</v>
      </c>
      <c r="N18" s="4">
        <f t="shared" si="7"/>
        <v>0</v>
      </c>
      <c r="O18" s="4">
        <f t="shared" si="8"/>
        <v>0</v>
      </c>
      <c r="P18" s="4">
        <f t="shared" si="9"/>
        <v>0</v>
      </c>
      <c r="Q18" s="4">
        <f t="shared" si="10"/>
        <v>0</v>
      </c>
      <c r="R18" s="4">
        <f t="shared" si="11"/>
        <v>0</v>
      </c>
      <c r="S18" s="4">
        <f t="shared" si="12"/>
        <v>0</v>
      </c>
      <c r="T18" s="4">
        <f t="shared" si="13"/>
        <v>0</v>
      </c>
      <c r="U18" s="4">
        <f t="shared" si="14"/>
        <v>0</v>
      </c>
      <c r="V18" s="4">
        <f t="shared" si="15"/>
        <v>0</v>
      </c>
      <c r="W18" s="4">
        <f t="shared" si="16"/>
        <v>0</v>
      </c>
      <c r="X18" s="4">
        <f t="shared" si="17"/>
        <v>0</v>
      </c>
      <c r="Y18" s="4">
        <f t="shared" si="18"/>
        <v>0</v>
      </c>
      <c r="Z18" s="2">
        <f>VLOOKUP($A18,Servings!$C:$K,2,FALSE)</f>
        <v>5</v>
      </c>
      <c r="AA18" s="2" t="str">
        <f>VLOOKUP($A18,Servings!$C:$K,3,FALSE)</f>
        <v>g</v>
      </c>
      <c r="AB18" s="2">
        <f>VLOOKUP($A18,Servings!$C:$K,4,FALSE)</f>
        <v>1</v>
      </c>
      <c r="AC18" s="2" t="str">
        <f>VLOOKUP($A18,Servings!$C:$K,5,FALSE)</f>
        <v>tsp</v>
      </c>
      <c r="AD18" s="14">
        <f>VLOOKUP($A18,Servings!$C:$K,6,FALSE)</f>
        <v>0</v>
      </c>
      <c r="AE18" s="2">
        <f>VLOOKUP($A18,Servings!$C:$K,7,FALSE)</f>
        <v>0</v>
      </c>
      <c r="AF18" s="2">
        <f>VLOOKUP($A18,Servings!$C:$K,8,FALSE)</f>
        <v>0</v>
      </c>
      <c r="AG18" s="2">
        <f>VLOOKUP($A18,Servings!$C:$K,9,FALSE)</f>
        <v>0</v>
      </c>
      <c r="AH18">
        <f>VLOOKUP($A18,Servings!$C:$Y,10,FALSE)</f>
        <v>0</v>
      </c>
      <c r="AI18">
        <f>VLOOKUP($A18,Servings!$C:$Y,11,FALSE)</f>
        <v>0</v>
      </c>
      <c r="AJ18">
        <f>VLOOKUP($A18,Servings!$C:$Y,12,FALSE)</f>
        <v>0</v>
      </c>
      <c r="AK18">
        <f>VLOOKUP($A18,Servings!$C:$Y,13,FALSE)</f>
        <v>0</v>
      </c>
      <c r="AL18">
        <f>VLOOKUP($A18,Servings!$C:$Y,14,FALSE)</f>
        <v>0</v>
      </c>
      <c r="AM18">
        <f>VLOOKUP($A18,Servings!$C:$Y,15,FALSE)</f>
        <v>0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0</v>
      </c>
      <c r="AQ18">
        <f>VLOOKUP($A18,Servings!$C:$Y,19,FALSE)</f>
        <v>0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x14ac:dyDescent="0.25">
      <c r="A19" s="2" t="s">
        <v>25</v>
      </c>
      <c r="B19" s="2">
        <v>1</v>
      </c>
      <c r="C19" s="2" t="str">
        <f>IF(IFERROR(VLOOKUP(A19, Servings!C:G, 3, FALSE), "")=0, "", IFERROR(VLOOKUP(A19, Servings!C:G, 3, FALSE), ""))</f>
        <v>g</v>
      </c>
      <c r="D19" s="2" t="str">
        <f>IF(IFERROR(VLOOKUP(A19, Servings!C:G, 5, FALSE), "")=0, "", IFERROR(VLOOKUP(A19, Servings!C:G, 5, FALSE), ""))</f>
        <v>scoops</v>
      </c>
      <c r="E19" s="2" t="s">
        <v>32</v>
      </c>
      <c r="F19" s="19" t="s">
        <v>240</v>
      </c>
      <c r="G19" s="3">
        <f>IF(E19=AC19, B19/AB19, IF(E19=AA19, B19/Z19, "Condition not met"))</f>
        <v>0.5</v>
      </c>
      <c r="H19" s="4">
        <f>$G19*AD19</f>
        <v>640</v>
      </c>
      <c r="I19" s="4">
        <f t="shared" si="2"/>
        <v>5</v>
      </c>
      <c r="J19" s="4">
        <f t="shared" si="3"/>
        <v>126</v>
      </c>
      <c r="K19" s="4">
        <f t="shared" si="4"/>
        <v>26</v>
      </c>
      <c r="L19" s="4">
        <f t="shared" si="5"/>
        <v>0</v>
      </c>
      <c r="M19" s="4">
        <f t="shared" si="6"/>
        <v>0</v>
      </c>
      <c r="N19" s="4">
        <f t="shared" si="7"/>
        <v>0</v>
      </c>
      <c r="O19" s="4">
        <f t="shared" si="8"/>
        <v>0</v>
      </c>
      <c r="P19" s="4">
        <f t="shared" si="9"/>
        <v>0</v>
      </c>
      <c r="Q19" s="4">
        <f t="shared" si="10"/>
        <v>0</v>
      </c>
      <c r="R19" s="4">
        <f t="shared" si="11"/>
        <v>1105</v>
      </c>
      <c r="S19" s="4">
        <f t="shared" si="12"/>
        <v>1.5</v>
      </c>
      <c r="T19" s="4">
        <f t="shared" si="13"/>
        <v>255</v>
      </c>
      <c r="U19" s="4">
        <f t="shared" si="14"/>
        <v>9.5</v>
      </c>
      <c r="V19" s="4">
        <f t="shared" si="15"/>
        <v>0</v>
      </c>
      <c r="W19" s="4">
        <f t="shared" si="16"/>
        <v>0</v>
      </c>
      <c r="X19" s="4">
        <f t="shared" si="17"/>
        <v>0</v>
      </c>
      <c r="Y19" s="4">
        <f t="shared" si="18"/>
        <v>0</v>
      </c>
      <c r="Z19" s="2">
        <f>VLOOKUP($A19,Servings!$C:$K,2,FALSE)</f>
        <v>334</v>
      </c>
      <c r="AA19" s="2" t="str">
        <f>VLOOKUP($A19,Servings!$C:$K,3,FALSE)</f>
        <v>g</v>
      </c>
      <c r="AB19" s="2">
        <f>VLOOKUP($A19,Servings!$C:$K,4,FALSE)</f>
        <v>2</v>
      </c>
      <c r="AC19" s="2" t="str">
        <f>VLOOKUP($A19,Servings!$C:$K,5,FALSE)</f>
        <v>scoops</v>
      </c>
      <c r="AD19" s="14">
        <f>VLOOKUP($A19,Servings!$C:$K,6,FALSE)</f>
        <v>1280</v>
      </c>
      <c r="AE19" s="2">
        <f>VLOOKUP($A19,Servings!$C:$K,7,FALSE)</f>
        <v>10</v>
      </c>
      <c r="AF19" s="2">
        <f>VLOOKUP($A19,Servings!$C:$K,8,FALSE)</f>
        <v>252</v>
      </c>
      <c r="AG19" s="2">
        <f>VLOOKUP($A19,Servings!$C:$K,9,FALSE)</f>
        <v>52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0</v>
      </c>
      <c r="AK19">
        <f>VLOOKUP($A19,Servings!$C:$Y,13,FALSE)</f>
        <v>0</v>
      </c>
      <c r="AL19">
        <f>VLOOKUP($A19,Servings!$C:$Y,14,FALSE)</f>
        <v>0</v>
      </c>
      <c r="AM19">
        <f>VLOOKUP($A19,Servings!$C:$Y,15,FALSE)</f>
        <v>0</v>
      </c>
      <c r="AN19">
        <f>VLOOKUP($A19,Servings!$C:$Y,16,FALSE)</f>
        <v>2210</v>
      </c>
      <c r="AO19">
        <f>VLOOKUP($A19,Servings!$C:$Y,17,FALSE)</f>
        <v>3</v>
      </c>
      <c r="AP19">
        <f>VLOOKUP($A19,Servings!$C:$Y,18,FALSE)</f>
        <v>510</v>
      </c>
      <c r="AQ19">
        <f>VLOOKUP($A19,Servings!$C:$Y,19,FALSE)</f>
        <v>19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x14ac:dyDescent="0.25">
      <c r="A20" s="2" t="s">
        <v>35</v>
      </c>
      <c r="B20" s="2">
        <v>250</v>
      </c>
      <c r="C20" s="2" t="str">
        <f>IF(IFERROR(VLOOKUP(A20, Servings!C:G, 3, FALSE), "")=0, "", IFERROR(VLOOKUP(A20, Servings!C:G, 3, FALSE), ""))</f>
        <v>g</v>
      </c>
      <c r="D20" s="2" t="str">
        <f>IF(IFERROR(VLOOKUP(A20, Servings!C:G, 5, FALSE), "")=0, "", IFERROR(VLOOKUP(A20, Servings!C:G, 5, FALSE), ""))</f>
        <v/>
      </c>
      <c r="E20" s="2" t="s">
        <v>28</v>
      </c>
      <c r="F20" s="19" t="s">
        <v>85</v>
      </c>
      <c r="G20" s="3">
        <f>IF(E20=AC20, B20/AB20, IF(E20=AA20, B20/Z20, "Condition not met"))</f>
        <v>1.3888888888888888</v>
      </c>
      <c r="H20" s="4">
        <f>$G20*AD20</f>
        <v>296.29629629629625</v>
      </c>
      <c r="I20" s="4">
        <f t="shared" si="2"/>
        <v>0</v>
      </c>
      <c r="J20" s="4">
        <f t="shared" si="3"/>
        <v>66.666666666666657</v>
      </c>
      <c r="K20" s="4">
        <f t="shared" si="4"/>
        <v>5.5555555555555554</v>
      </c>
      <c r="L20" s="4">
        <f t="shared" si="5"/>
        <v>0</v>
      </c>
      <c r="M20" s="4">
        <f t="shared" si="6"/>
        <v>3.7037037037037033</v>
      </c>
      <c r="N20" s="4">
        <f t="shared" si="7"/>
        <v>0</v>
      </c>
      <c r="O20" s="4">
        <f t="shared" si="8"/>
        <v>0</v>
      </c>
      <c r="P20" s="4">
        <f t="shared" si="9"/>
        <v>0</v>
      </c>
      <c r="Q20" s="4">
        <f t="shared" si="10"/>
        <v>0</v>
      </c>
      <c r="R20" s="4">
        <f t="shared" si="11"/>
        <v>0</v>
      </c>
      <c r="S20" s="4">
        <f t="shared" si="12"/>
        <v>0</v>
      </c>
      <c r="T20" s="4">
        <f t="shared" si="13"/>
        <v>0</v>
      </c>
      <c r="U20" s="4">
        <f t="shared" si="14"/>
        <v>0</v>
      </c>
      <c r="V20" s="4">
        <f t="shared" si="15"/>
        <v>0</v>
      </c>
      <c r="W20" s="4">
        <f t="shared" si="16"/>
        <v>0</v>
      </c>
      <c r="X20" s="4">
        <f t="shared" si="17"/>
        <v>0</v>
      </c>
      <c r="Y20" s="4">
        <f t="shared" si="18"/>
        <v>0</v>
      </c>
      <c r="Z20" s="2">
        <f>VLOOKUP($A20,Servings!$C:$K,2,FALSE)</f>
        <v>180</v>
      </c>
      <c r="AA20" s="2" t="str">
        <f>VLOOKUP($A20,Servings!$C:$K,3,FALSE)</f>
        <v>g</v>
      </c>
      <c r="AB20" s="2">
        <f>VLOOKUP($A20,Servings!$C:$K,4,FALSE)</f>
        <v>0</v>
      </c>
      <c r="AC20" s="2">
        <f>VLOOKUP($A20,Servings!$C:$K,5,FALSE)</f>
        <v>0</v>
      </c>
      <c r="AD20" s="14">
        <f>VLOOKUP($A20,Servings!$C:$K,6,FALSE)</f>
        <v>213.33333333333331</v>
      </c>
      <c r="AE20" s="2">
        <f>VLOOKUP($A20,Servings!$C:$K,7,FALSE)</f>
        <v>0</v>
      </c>
      <c r="AF20" s="2">
        <f>VLOOKUP($A20,Servings!$C:$K,8,FALSE)</f>
        <v>48</v>
      </c>
      <c r="AG20" s="2">
        <f>VLOOKUP($A20,Servings!$C:$K,9,FALSE)</f>
        <v>4</v>
      </c>
      <c r="AH20">
        <f>VLOOKUP($A20,Servings!$C:$Y,10,FALSE)</f>
        <v>0</v>
      </c>
      <c r="AI20">
        <f>VLOOKUP($A20,Servings!$C:$Y,11,FALSE)</f>
        <v>2.6666666666666665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0</v>
      </c>
      <c r="AO20">
        <f>VLOOKUP($A20,Servings!$C:$Y,17,FALSE)</f>
        <v>0</v>
      </c>
      <c r="AP20">
        <f>VLOOKUP($A20,Servings!$C:$Y,18,FALSE)</f>
        <v>0</v>
      </c>
      <c r="AQ20">
        <f>VLOOKUP($A20,Servings!$C:$Y,19,FALSE)</f>
        <v>0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x14ac:dyDescent="0.25">
      <c r="A21" s="2" t="s">
        <v>172</v>
      </c>
      <c r="B21" s="2">
        <v>120</v>
      </c>
      <c r="C21" s="2" t="str">
        <f>IF(IFERROR(VLOOKUP(A21, Servings!C:G, 3, FALSE), "")=0, "", IFERROR(VLOOKUP(A21, Servings!C:G, 3, FALSE), ""))</f>
        <v>g</v>
      </c>
      <c r="D21" s="2" t="str">
        <f>IF(IFERROR(VLOOKUP(A21, Servings!C:G, 5, FALSE), "")=0, "", IFERROR(VLOOKUP(A21, Servings!C:G, 5, FALSE), ""))</f>
        <v>serving</v>
      </c>
      <c r="E21" s="2" t="s">
        <v>28</v>
      </c>
      <c r="F21" s="19" t="s">
        <v>85</v>
      </c>
      <c r="G21" s="3">
        <f>IF(E21=AC21, B21/AB21, IF(E21=AA21, B21/Z21, "Condition not met"))</f>
        <v>1.0714285714285714</v>
      </c>
      <c r="H21" s="4">
        <f>$G21*AD21</f>
        <v>128.57142857142856</v>
      </c>
      <c r="I21" s="4">
        <f t="shared" si="2"/>
        <v>2.6785714285714284</v>
      </c>
      <c r="J21" s="4">
        <f t="shared" si="3"/>
        <v>0</v>
      </c>
      <c r="K21" s="4">
        <f t="shared" si="4"/>
        <v>24.642857142857142</v>
      </c>
      <c r="L21" s="4">
        <f t="shared" si="5"/>
        <v>0</v>
      </c>
      <c r="M21" s="4">
        <f t="shared" si="6"/>
        <v>0</v>
      </c>
      <c r="N21" s="4">
        <f t="shared" si="7"/>
        <v>0</v>
      </c>
      <c r="O21" s="4">
        <f t="shared" si="8"/>
        <v>0</v>
      </c>
      <c r="P21" s="4">
        <f t="shared" si="9"/>
        <v>0</v>
      </c>
      <c r="Q21" s="4">
        <f t="shared" si="10"/>
        <v>0</v>
      </c>
      <c r="R21" s="4">
        <f t="shared" si="11"/>
        <v>0</v>
      </c>
      <c r="S21" s="4">
        <f t="shared" si="12"/>
        <v>0</v>
      </c>
      <c r="T21" s="4">
        <f t="shared" si="13"/>
        <v>0</v>
      </c>
      <c r="U21" s="4">
        <f t="shared" si="14"/>
        <v>0</v>
      </c>
      <c r="V21" s="4">
        <f t="shared" si="15"/>
        <v>0</v>
      </c>
      <c r="W21" s="4">
        <f t="shared" si="16"/>
        <v>0</v>
      </c>
      <c r="X21" s="4">
        <f t="shared" si="17"/>
        <v>0</v>
      </c>
      <c r="Y21" s="4">
        <f t="shared" si="18"/>
        <v>0</v>
      </c>
      <c r="Z21" s="2">
        <f>VLOOKUP($A21,Servings!$C:$K,2,FALSE)</f>
        <v>112</v>
      </c>
      <c r="AA21" s="2" t="str">
        <f>VLOOKUP($A21,Servings!$C:$K,3,FALSE)</f>
        <v>g</v>
      </c>
      <c r="AB21" s="2">
        <f>VLOOKUP($A21,Servings!$C:$K,4,FALSE)</f>
        <v>1</v>
      </c>
      <c r="AC21" s="2" t="str">
        <f>VLOOKUP($A21,Servings!$C:$K,5,FALSE)</f>
        <v>serving</v>
      </c>
      <c r="AD21" s="14">
        <f>VLOOKUP($A21,Servings!$C:$K,6,FALSE)</f>
        <v>120</v>
      </c>
      <c r="AE21" s="2">
        <f>VLOOKUP($A21,Servings!$C:$K,7,FALSE)</f>
        <v>2.5</v>
      </c>
      <c r="AF21" s="2">
        <f>VLOOKUP($A21,Servings!$C:$K,8,FALSE)</f>
        <v>0</v>
      </c>
      <c r="AG21" s="2">
        <f>VLOOKUP($A21,Servings!$C:$K,9,FALSE)</f>
        <v>23</v>
      </c>
      <c r="AH21">
        <f>VLOOKUP($A21,Servings!$C:$Y,10,FALSE)</f>
        <v>0</v>
      </c>
      <c r="AI21">
        <f>VLOOKUP($A21,Servings!$C:$Y,11,FALSE)</f>
        <v>0</v>
      </c>
      <c r="AJ21">
        <f>VLOOKUP($A21,Servings!$C:$Y,12,FALSE)</f>
        <v>0</v>
      </c>
      <c r="AK21">
        <f>VLOOKUP($A21,Servings!$C:$Y,13,FALSE)</f>
        <v>0</v>
      </c>
      <c r="AL21">
        <f>VLOOKUP($A21,Servings!$C:$Y,14,FALSE)</f>
        <v>0</v>
      </c>
      <c r="AM21">
        <f>VLOOKUP($A21,Servings!$C:$Y,15,FALSE)</f>
        <v>0</v>
      </c>
      <c r="AN21">
        <f>VLOOKUP($A21,Servings!$C:$Y,16,FALSE)</f>
        <v>0</v>
      </c>
      <c r="AO21">
        <f>VLOOKUP($A21,Servings!$C:$Y,17,FALSE)</f>
        <v>0</v>
      </c>
      <c r="AP21">
        <f>VLOOKUP($A21,Servings!$C:$Y,18,FALSE)</f>
        <v>0</v>
      </c>
      <c r="AQ21">
        <f>VLOOKUP($A21,Servings!$C:$Y,19,FALSE)</f>
        <v>0</v>
      </c>
      <c r="AR21">
        <f>VLOOKUP($A21,Servings!$C:$Y,20,FALSE)</f>
        <v>0</v>
      </c>
      <c r="AS21">
        <f>VLOOKUP($A21,Servings!$C:$Y,21,FALSE)</f>
        <v>0</v>
      </c>
      <c r="AT21">
        <f>VLOOKUP($A21,Servings!$C:$Y,22,FALSE)</f>
        <v>0</v>
      </c>
      <c r="AU21">
        <f>VLOOKUP($A21,Servings!$C:$Y,23,FALSE)</f>
        <v>0</v>
      </c>
    </row>
    <row r="22" spans="1:47" x14ac:dyDescent="0.25">
      <c r="A22" s="2" t="s">
        <v>189</v>
      </c>
      <c r="B22" s="2">
        <v>2</v>
      </c>
      <c r="C22" s="2" t="str">
        <f>IF(IFERROR(VLOOKUP(A22, Servings!C:G, 3, FALSE), "")=0, "", IFERROR(VLOOKUP(A22, Servings!C:G, 3, FALSE), ""))</f>
        <v>g</v>
      </c>
      <c r="D22" s="2" t="str">
        <f>IF(IFERROR(VLOOKUP(A22, Servings!C:G, 5, FALSE), "")=0, "", IFERROR(VLOOKUP(A22, Servings!C:G, 5, FALSE), ""))</f>
        <v>slice</v>
      </c>
      <c r="E22" s="2" t="s">
        <v>104</v>
      </c>
      <c r="F22" s="19" t="s">
        <v>85</v>
      </c>
      <c r="G22" s="3">
        <f>IF(E22=AC22, B22/AB22, IF(E22=AA22, B22/Z22, "Condition not met"))</f>
        <v>2</v>
      </c>
      <c r="H22" s="4">
        <f>$G22*AD22</f>
        <v>140</v>
      </c>
      <c r="I22" s="4">
        <f t="shared" ref="I22:I30" si="19">$G22*AE22</f>
        <v>1</v>
      </c>
      <c r="J22" s="4">
        <f t="shared" ref="J22:J30" si="20">$G22*AF22</f>
        <v>26</v>
      </c>
      <c r="K22" s="4">
        <f t="shared" ref="K22:K30" si="21">$G22*AG22</f>
        <v>6</v>
      </c>
      <c r="L22" s="4">
        <f t="shared" ref="L22:L30" si="22">$G22*AH22</f>
        <v>4</v>
      </c>
      <c r="M22" s="4">
        <f t="shared" ref="M22:M30" si="23">$G22*AI22</f>
        <v>100</v>
      </c>
      <c r="N22" s="4">
        <f t="shared" ref="N22:N30" si="24">$G22*AJ22</f>
        <v>2</v>
      </c>
      <c r="O22" s="4">
        <f t="shared" ref="O22:O30" si="25">$G22*AK22</f>
        <v>2</v>
      </c>
      <c r="P22" s="4">
        <f t="shared" ref="P22:P30" si="26">$G22*AL22</f>
        <v>0</v>
      </c>
      <c r="Q22" s="4">
        <f t="shared" ref="Q22:Q30" si="27">$G22*AM22</f>
        <v>0</v>
      </c>
      <c r="R22" s="4">
        <f t="shared" ref="R22:R30" si="28">$G22*AN22</f>
        <v>120</v>
      </c>
      <c r="S22" s="4">
        <f t="shared" ref="S22:S30" si="29">$G22*AO22</f>
        <v>0</v>
      </c>
      <c r="T22" s="4">
        <f t="shared" ref="T22:T30" si="30">$G22*AP22</f>
        <v>250</v>
      </c>
      <c r="U22" s="4">
        <f t="shared" ref="U22:U30" si="31">$G22*AQ22</f>
        <v>4</v>
      </c>
      <c r="V22" s="4">
        <f t="shared" ref="V22:V30" si="32">$G22*AR22</f>
        <v>0</v>
      </c>
      <c r="W22" s="4">
        <f t="shared" ref="W22:W30" si="33">$G22*AS22</f>
        <v>0</v>
      </c>
      <c r="X22" s="4">
        <f t="shared" ref="X22:X30" si="34">$G22*AT22</f>
        <v>0</v>
      </c>
      <c r="Y22" s="4">
        <f t="shared" ref="Y22:Y30" si="35">$G22*AU22</f>
        <v>0</v>
      </c>
      <c r="Z22" s="2">
        <f>VLOOKUP($A22,Servings!$C:$K,2,FALSE)</f>
        <v>31</v>
      </c>
      <c r="AA22" s="2" t="str">
        <f>VLOOKUP($A22,Servings!$C:$K,3,FALSE)</f>
        <v>g</v>
      </c>
      <c r="AB22" s="2">
        <f>VLOOKUP($A22,Servings!$C:$K,4,FALSE)</f>
        <v>1</v>
      </c>
      <c r="AC22" s="2" t="str">
        <f>VLOOKUP($A22,Servings!$C:$K,5,FALSE)</f>
        <v>slice</v>
      </c>
      <c r="AD22" s="14">
        <f>VLOOKUP($A22,Servings!$C:$K,6,FALSE)</f>
        <v>70</v>
      </c>
      <c r="AE22" s="2">
        <f>VLOOKUP($A22,Servings!$C:$K,7,FALSE)</f>
        <v>0.5</v>
      </c>
      <c r="AF22" s="2">
        <f>VLOOKUP($A22,Servings!$C:$K,8,FALSE)</f>
        <v>13</v>
      </c>
      <c r="AG22" s="2">
        <f>VLOOKUP($A22,Servings!$C:$K,9,FALSE)</f>
        <v>3</v>
      </c>
      <c r="AH22">
        <f>VLOOKUP($A22,Servings!$C:$Y,10,FALSE)</f>
        <v>2</v>
      </c>
      <c r="AI22">
        <f>VLOOKUP($A22,Servings!$C:$Y,11,FALSE)</f>
        <v>50</v>
      </c>
      <c r="AJ22">
        <f>VLOOKUP($A22,Servings!$C:$Y,12,FALSE)</f>
        <v>1</v>
      </c>
      <c r="AK22">
        <f>VLOOKUP($A22,Servings!$C:$Y,13,FALSE)</f>
        <v>1</v>
      </c>
      <c r="AL22">
        <f>VLOOKUP($A22,Servings!$C:$Y,14,FALSE)</f>
        <v>0</v>
      </c>
      <c r="AM22">
        <f>VLOOKUP($A22,Servings!$C:$Y,15,FALSE)</f>
        <v>0</v>
      </c>
      <c r="AN22">
        <f>VLOOKUP($A22,Servings!$C:$Y,16,FALSE)</f>
        <v>60</v>
      </c>
      <c r="AO22">
        <f>VLOOKUP($A22,Servings!$C:$Y,17,FALSE)</f>
        <v>0</v>
      </c>
      <c r="AP22">
        <f>VLOOKUP($A22,Servings!$C:$Y,18,FALSE)</f>
        <v>125</v>
      </c>
      <c r="AQ22">
        <f>VLOOKUP($A22,Servings!$C:$Y,19,FALSE)</f>
        <v>2</v>
      </c>
      <c r="AR22">
        <f>VLOOKUP($A22,Servings!$C:$Y,20,FALSE)</f>
        <v>0</v>
      </c>
      <c r="AS22">
        <f>VLOOKUP($A22,Servings!$C:$Y,21,FALSE)</f>
        <v>0</v>
      </c>
      <c r="AT22">
        <f>VLOOKUP($A22,Servings!$C:$Y,22,FALSE)</f>
        <v>0</v>
      </c>
      <c r="AU22">
        <f>VLOOKUP($A22,Servings!$C:$Y,23,FALSE)</f>
        <v>0</v>
      </c>
    </row>
    <row r="23" spans="1:47" x14ac:dyDescent="0.25">
      <c r="A23" s="2" t="s">
        <v>192</v>
      </c>
      <c r="B23" s="2">
        <v>39</v>
      </c>
      <c r="C23" s="2" t="str">
        <f>IF(IFERROR(VLOOKUP(A23, Servings!C:G, 3, FALSE), "")=0, "", IFERROR(VLOOKUP(A23, Servings!C:G, 3, FALSE), ""))</f>
        <v>g</v>
      </c>
      <c r="D23" s="2" t="str">
        <f>IF(IFERROR(VLOOKUP(A23, Servings!C:G, 5, FALSE), "")=0, "", IFERROR(VLOOKUP(A23, Servings!C:G, 5, FALSE), ""))</f>
        <v/>
      </c>
      <c r="E23" s="2" t="s">
        <v>28</v>
      </c>
      <c r="F23" s="19" t="s">
        <v>85</v>
      </c>
      <c r="G23" s="3">
        <f>IF(E23=AC23, B23/AB23, IF(E23=AA23, B23/Z23, "Condition not met"))</f>
        <v>0.78</v>
      </c>
      <c r="H23" s="4">
        <f>$G23*AD23</f>
        <v>187.20000000000002</v>
      </c>
      <c r="I23" s="4">
        <f t="shared" si="19"/>
        <v>17.16</v>
      </c>
      <c r="J23" s="4">
        <f t="shared" si="20"/>
        <v>9.9840000000000018</v>
      </c>
      <c r="K23" s="4">
        <f t="shared" si="21"/>
        <v>2.34</v>
      </c>
      <c r="L23" s="4">
        <f t="shared" si="22"/>
        <v>0</v>
      </c>
      <c r="M23" s="4">
        <f t="shared" si="23"/>
        <v>0</v>
      </c>
      <c r="N23" s="4">
        <f t="shared" si="24"/>
        <v>0</v>
      </c>
      <c r="O23" s="4">
        <f t="shared" si="25"/>
        <v>0</v>
      </c>
      <c r="P23" s="4">
        <f t="shared" si="26"/>
        <v>0</v>
      </c>
      <c r="Q23" s="4">
        <f t="shared" si="27"/>
        <v>0</v>
      </c>
      <c r="R23" s="4">
        <f t="shared" si="28"/>
        <v>0</v>
      </c>
      <c r="S23" s="4">
        <f t="shared" si="29"/>
        <v>0</v>
      </c>
      <c r="T23" s="4">
        <f t="shared" si="30"/>
        <v>0</v>
      </c>
      <c r="U23" s="4">
        <f t="shared" si="31"/>
        <v>0</v>
      </c>
      <c r="V23" s="4">
        <f t="shared" si="32"/>
        <v>0</v>
      </c>
      <c r="W23" s="4">
        <f t="shared" si="33"/>
        <v>0</v>
      </c>
      <c r="X23" s="4">
        <f t="shared" si="34"/>
        <v>0</v>
      </c>
      <c r="Y23" s="4">
        <f t="shared" si="35"/>
        <v>0</v>
      </c>
      <c r="Z23" s="2">
        <f>VLOOKUP($A23,Servings!$C:$K,2,FALSE)</f>
        <v>50</v>
      </c>
      <c r="AA23" s="2" t="str">
        <f>VLOOKUP($A23,Servings!$C:$K,3,FALSE)</f>
        <v>g</v>
      </c>
      <c r="AB23" s="2">
        <f>VLOOKUP($A23,Servings!$C:$K,4,FALSE)</f>
        <v>0</v>
      </c>
      <c r="AC23" s="2">
        <f>VLOOKUP($A23,Servings!$C:$K,5,FALSE)</f>
        <v>0</v>
      </c>
      <c r="AD23" s="14">
        <f>VLOOKUP($A23,Servings!$C:$K,6,FALSE)</f>
        <v>240</v>
      </c>
      <c r="AE23" s="2">
        <f>VLOOKUP($A23,Servings!$C:$K,7,FALSE)</f>
        <v>22</v>
      </c>
      <c r="AF23" s="2">
        <f>VLOOKUP($A23,Servings!$C:$K,8,FALSE)</f>
        <v>12.8</v>
      </c>
      <c r="AG23" s="2">
        <f>VLOOKUP($A23,Servings!$C:$K,9,FALSE)</f>
        <v>3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0</v>
      </c>
      <c r="AM23">
        <f>VLOOKUP($A23,Servings!$C:$Y,15,FALSE)</f>
        <v>0</v>
      </c>
      <c r="AN23">
        <f>VLOOKUP($A23,Servings!$C:$Y,16,FALSE)</f>
        <v>0</v>
      </c>
      <c r="AO23">
        <f>VLOOKUP($A23,Servings!$C:$Y,17,FALSE)</f>
        <v>0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x14ac:dyDescent="0.25">
      <c r="A24" s="2" t="s">
        <v>138</v>
      </c>
      <c r="B24" s="2">
        <v>46</v>
      </c>
      <c r="C24" s="2" t="str">
        <f>IF(IFERROR(VLOOKUP(A24, Servings!C:G, 3, FALSE), "")=0, "", IFERROR(VLOOKUP(A24, Servings!C:G, 3, FALSE), ""))</f>
        <v>g</v>
      </c>
      <c r="D24" s="2" t="str">
        <f>IF(IFERROR(VLOOKUP(A24, Servings!C:G, 5, FALSE), "")=0, "", IFERROR(VLOOKUP(A24, Servings!C:G, 5, FALSE), ""))</f>
        <v>oz</v>
      </c>
      <c r="E24" s="2" t="s">
        <v>28</v>
      </c>
      <c r="F24" s="19" t="s">
        <v>85</v>
      </c>
      <c r="G24" s="3">
        <f>IF(E24=AC24, B24/AB24, IF(E24=AA24, B24/Z24, "Condition not met"))</f>
        <v>0.54117647058823526</v>
      </c>
      <c r="H24" s="4">
        <f>$G24*AD24</f>
        <v>16.235294117647058</v>
      </c>
      <c r="I24" s="4">
        <f t="shared" si="19"/>
        <v>0</v>
      </c>
      <c r="J24" s="4">
        <f t="shared" si="20"/>
        <v>3.7882352941176469</v>
      </c>
      <c r="K24" s="4">
        <f t="shared" si="21"/>
        <v>0.54117647058823526</v>
      </c>
      <c r="L24" s="4">
        <f t="shared" si="22"/>
        <v>0</v>
      </c>
      <c r="M24" s="4">
        <f t="shared" si="23"/>
        <v>10.823529411764705</v>
      </c>
      <c r="N24" s="4">
        <f t="shared" si="24"/>
        <v>1.0823529411764705</v>
      </c>
      <c r="O24" s="4">
        <f t="shared" si="25"/>
        <v>0.21647058823529411</v>
      </c>
      <c r="P24" s="4">
        <f t="shared" si="26"/>
        <v>0</v>
      </c>
      <c r="Q24" s="4">
        <f t="shared" si="27"/>
        <v>0</v>
      </c>
      <c r="R24" s="4">
        <f t="shared" si="28"/>
        <v>146.11764705882351</v>
      </c>
      <c r="S24" s="4">
        <f t="shared" si="29"/>
        <v>0</v>
      </c>
      <c r="T24" s="4">
        <f t="shared" si="30"/>
        <v>35.17647058823529</v>
      </c>
      <c r="U24" s="4">
        <f t="shared" si="31"/>
        <v>2.7058823529411762</v>
      </c>
      <c r="V24" s="4">
        <f t="shared" si="32"/>
        <v>0</v>
      </c>
      <c r="W24" s="4">
        <f t="shared" si="33"/>
        <v>162.35294117647058</v>
      </c>
      <c r="X24" s="4">
        <f t="shared" si="34"/>
        <v>3.7882352941176469</v>
      </c>
      <c r="Y24" s="4">
        <f t="shared" si="35"/>
        <v>0</v>
      </c>
      <c r="Z24" s="2">
        <f>VLOOKUP($A24,Servings!$C:$K,2,FALSE)</f>
        <v>85</v>
      </c>
      <c r="AA24" s="2" t="str">
        <f>VLOOKUP($A24,Servings!$C:$K,3,FALSE)</f>
        <v>g</v>
      </c>
      <c r="AB24" s="2">
        <f>VLOOKUP($A24,Servings!$C:$K,4,FALSE)</f>
        <v>3</v>
      </c>
      <c r="AC24" s="2" t="str">
        <f>VLOOKUP($A24,Servings!$C:$K,5,FALSE)</f>
        <v>oz</v>
      </c>
      <c r="AD24" s="14">
        <f>VLOOKUP($A24,Servings!$C:$K,6,FALSE)</f>
        <v>30</v>
      </c>
      <c r="AE24" s="2">
        <f>VLOOKUP($A24,Servings!$C:$K,7,FALSE)</f>
        <v>0</v>
      </c>
      <c r="AF24" s="2">
        <f>VLOOKUP($A24,Servings!$C:$K,8,FALSE)</f>
        <v>7</v>
      </c>
      <c r="AG24" s="2">
        <f>VLOOKUP($A24,Servings!$C:$K,9,FALSE)</f>
        <v>1</v>
      </c>
      <c r="AH24">
        <f>VLOOKUP($A24,Servings!$C:$Y,10,FALSE)</f>
        <v>0</v>
      </c>
      <c r="AI24">
        <f>VLOOKUP($A24,Servings!$C:$Y,11,FALSE)</f>
        <v>20</v>
      </c>
      <c r="AJ24">
        <f>VLOOKUP($A24,Servings!$C:$Y,12,FALSE)</f>
        <v>2</v>
      </c>
      <c r="AK24">
        <f>VLOOKUP($A24,Servings!$C:$Y,13,FALSE)</f>
        <v>0.4</v>
      </c>
      <c r="AL24">
        <f>VLOOKUP($A24,Servings!$C:$Y,14,FALSE)</f>
        <v>0</v>
      </c>
      <c r="AM24">
        <f>VLOOKUP($A24,Servings!$C:$Y,15,FALSE)</f>
        <v>0</v>
      </c>
      <c r="AN24">
        <f>VLOOKUP($A24,Servings!$C:$Y,16,FALSE)</f>
        <v>270</v>
      </c>
      <c r="AO24">
        <f>VLOOKUP($A24,Servings!$C:$Y,17,FALSE)</f>
        <v>0</v>
      </c>
      <c r="AP24">
        <f>VLOOKUP($A24,Servings!$C:$Y,18,FALSE)</f>
        <v>65</v>
      </c>
      <c r="AQ24">
        <f>VLOOKUP($A24,Servings!$C:$Y,19,FALSE)</f>
        <v>5</v>
      </c>
      <c r="AR24">
        <f>VLOOKUP($A24,Servings!$C:$Y,20,FALSE)</f>
        <v>0</v>
      </c>
      <c r="AS24">
        <f>VLOOKUP($A24,Servings!$C:$Y,21,FALSE)</f>
        <v>300</v>
      </c>
      <c r="AT24">
        <f>VLOOKUP($A24,Servings!$C:$Y,22,FALSE)</f>
        <v>7</v>
      </c>
      <c r="AU24">
        <f>VLOOKUP($A24,Servings!$C:$Y,23,FALSE)</f>
        <v>0</v>
      </c>
    </row>
    <row r="25" spans="1:47" x14ac:dyDescent="0.25">
      <c r="A25" s="2" t="s">
        <v>41</v>
      </c>
      <c r="B25" s="2">
        <v>240</v>
      </c>
      <c r="C25" s="2" t="str">
        <f>IF(IFERROR(VLOOKUP(A25, Servings!C:G, 3, FALSE), "")=0, "", IFERROR(VLOOKUP(A25, Servings!C:G, 3, FALSE), ""))</f>
        <v>ml</v>
      </c>
      <c r="D25" s="2" t="str">
        <f>IF(IFERROR(VLOOKUP(A25, Servings!C:G, 5, FALSE), "")=0, "", IFERROR(VLOOKUP(A25, Servings!C:G, 5, FALSE), ""))</f>
        <v>cup</v>
      </c>
      <c r="E25" s="2" t="s">
        <v>42</v>
      </c>
      <c r="F25" s="19" t="s">
        <v>241</v>
      </c>
      <c r="G25" s="3">
        <f>IF(E25=AC25, B25/AB25, IF(E25=AA25, B25/Z25, "Condition not met"))</f>
        <v>1</v>
      </c>
      <c r="H25" s="4">
        <f>$G25*AD25</f>
        <v>90</v>
      </c>
      <c r="I25" s="4">
        <f t="shared" si="19"/>
        <v>0</v>
      </c>
      <c r="J25" s="4">
        <f t="shared" si="20"/>
        <v>13</v>
      </c>
      <c r="K25" s="4">
        <f t="shared" si="21"/>
        <v>8</v>
      </c>
      <c r="L25" s="4">
        <f t="shared" si="22"/>
        <v>0</v>
      </c>
      <c r="M25" s="4">
        <f t="shared" si="23"/>
        <v>310</v>
      </c>
      <c r="N25" s="4">
        <f t="shared" si="24"/>
        <v>0</v>
      </c>
      <c r="O25" s="4">
        <f t="shared" si="25"/>
        <v>0.1</v>
      </c>
      <c r="P25" s="4">
        <f t="shared" si="26"/>
        <v>0</v>
      </c>
      <c r="Q25" s="4">
        <f t="shared" si="27"/>
        <v>0</v>
      </c>
      <c r="R25" s="4">
        <f t="shared" si="28"/>
        <v>420</v>
      </c>
      <c r="S25" s="4">
        <f t="shared" si="29"/>
        <v>0</v>
      </c>
      <c r="T25" s="4">
        <f t="shared" si="30"/>
        <v>125</v>
      </c>
      <c r="U25" s="4">
        <f t="shared" si="31"/>
        <v>12</v>
      </c>
      <c r="V25" s="4">
        <f t="shared" si="32"/>
        <v>0</v>
      </c>
      <c r="W25" s="4">
        <f t="shared" si="33"/>
        <v>150</v>
      </c>
      <c r="X25" s="4">
        <f t="shared" si="34"/>
        <v>0</v>
      </c>
      <c r="Y25" s="4">
        <f t="shared" si="35"/>
        <v>3</v>
      </c>
      <c r="Z25" s="2">
        <f>VLOOKUP($A25,Servings!$C:$K,2,FALSE)</f>
        <v>240</v>
      </c>
      <c r="AA25" s="2" t="str">
        <f>VLOOKUP($A25,Servings!$C:$K,3,FALSE)</f>
        <v>ml</v>
      </c>
      <c r="AB25" s="2">
        <f>VLOOKUP($A25,Servings!$C:$K,4,FALSE)</f>
        <v>1</v>
      </c>
      <c r="AC25" s="2" t="str">
        <f>VLOOKUP($A25,Servings!$C:$K,5,FALSE)</f>
        <v>cup</v>
      </c>
      <c r="AD25" s="14">
        <f>VLOOKUP($A25,Servings!$C:$K,6,FALSE)</f>
        <v>90</v>
      </c>
      <c r="AE25" s="2">
        <f>VLOOKUP($A25,Servings!$C:$K,7,FALSE)</f>
        <v>0</v>
      </c>
      <c r="AF25" s="2">
        <f>VLOOKUP($A25,Servings!$C:$K,8,FALSE)</f>
        <v>13</v>
      </c>
      <c r="AG25" s="2">
        <f>VLOOKUP($A25,Servings!$C:$K,9,FALSE)</f>
        <v>8</v>
      </c>
      <c r="AH25">
        <f>VLOOKUP($A25,Servings!$C:$Y,10,FALSE)</f>
        <v>0</v>
      </c>
      <c r="AI25">
        <f>VLOOKUP($A25,Servings!$C:$Y,11,FALSE)</f>
        <v>310</v>
      </c>
      <c r="AJ25">
        <f>VLOOKUP($A25,Servings!$C:$Y,12,FALSE)</f>
        <v>0</v>
      </c>
      <c r="AK25">
        <f>VLOOKUP($A25,Servings!$C:$Y,13,FALSE)</f>
        <v>0.1</v>
      </c>
      <c r="AL25">
        <f>VLOOKUP($A25,Servings!$C:$Y,14,FALSE)</f>
        <v>0</v>
      </c>
      <c r="AM25">
        <f>VLOOKUP($A25,Servings!$C:$Y,15,FALSE)</f>
        <v>0</v>
      </c>
      <c r="AN25">
        <f>VLOOKUP($A25,Servings!$C:$Y,16,FALSE)</f>
        <v>420</v>
      </c>
      <c r="AO25">
        <f>VLOOKUP($A25,Servings!$C:$Y,17,FALSE)</f>
        <v>0</v>
      </c>
      <c r="AP25">
        <f>VLOOKUP($A25,Servings!$C:$Y,18,FALSE)</f>
        <v>125</v>
      </c>
      <c r="AQ25">
        <f>VLOOKUP($A25,Servings!$C:$Y,19,FALSE)</f>
        <v>12</v>
      </c>
      <c r="AR25">
        <f>VLOOKUP($A25,Servings!$C:$Y,20,FALSE)</f>
        <v>0</v>
      </c>
      <c r="AS25">
        <f>VLOOKUP($A25,Servings!$C:$Y,21,FALSE)</f>
        <v>150</v>
      </c>
      <c r="AT25">
        <f>VLOOKUP($A25,Servings!$C:$Y,22,FALSE)</f>
        <v>0</v>
      </c>
      <c r="AU25">
        <f>VLOOKUP($A25,Servings!$C:$Y,23,FALSE)</f>
        <v>3</v>
      </c>
    </row>
    <row r="26" spans="1:47" x14ac:dyDescent="0.25">
      <c r="A26" s="2" t="s">
        <v>38</v>
      </c>
      <c r="B26" s="2">
        <v>152</v>
      </c>
      <c r="C26" s="2" t="str">
        <f>IF(IFERROR(VLOOKUP(A26, Servings!C:G, 3, FALSE), "")=0, "", IFERROR(VLOOKUP(A26, Servings!C:G, 3, FALSE), ""))</f>
        <v>g</v>
      </c>
      <c r="D26" s="2" t="str">
        <f>IF(IFERROR(VLOOKUP(A26, Servings!C:G, 5, FALSE), "")=0, "", IFERROR(VLOOKUP(A26, Servings!C:G, 5, FALSE), ""))</f>
        <v>cup</v>
      </c>
      <c r="E26" s="2" t="s">
        <v>28</v>
      </c>
      <c r="F26" s="19" t="s">
        <v>241</v>
      </c>
      <c r="G26" s="3">
        <f>IF(E26=AC26, B26/AB26, IF(E26=AA26, B26/Z26, "Condition not met"))</f>
        <v>1.0857142857142856</v>
      </c>
      <c r="H26" s="4">
        <f>$G26*AD26</f>
        <v>86.857142857142847</v>
      </c>
      <c r="I26" s="4">
        <f t="shared" si="19"/>
        <v>0</v>
      </c>
      <c r="J26" s="4">
        <f t="shared" si="20"/>
        <v>19.542857142857141</v>
      </c>
      <c r="K26" s="4">
        <f t="shared" si="21"/>
        <v>1.0857142857142856</v>
      </c>
      <c r="L26" s="4">
        <f t="shared" si="22"/>
        <v>0</v>
      </c>
      <c r="M26" s="4">
        <f t="shared" si="23"/>
        <v>0</v>
      </c>
      <c r="N26" s="4">
        <f t="shared" si="24"/>
        <v>2.1714285714285713</v>
      </c>
      <c r="O26" s="4">
        <f t="shared" si="25"/>
        <v>0.43428571428571427</v>
      </c>
      <c r="P26" s="4">
        <f t="shared" si="26"/>
        <v>0</v>
      </c>
      <c r="Q26" s="4">
        <f t="shared" si="27"/>
        <v>0</v>
      </c>
      <c r="R26" s="4">
        <f t="shared" si="28"/>
        <v>162.85714285714283</v>
      </c>
      <c r="S26" s="4">
        <f t="shared" si="29"/>
        <v>0</v>
      </c>
      <c r="T26" s="4">
        <f t="shared" si="30"/>
        <v>0</v>
      </c>
      <c r="U26" s="4">
        <f t="shared" si="31"/>
        <v>15.2</v>
      </c>
      <c r="V26" s="4">
        <f t="shared" si="32"/>
        <v>0</v>
      </c>
      <c r="W26" s="4">
        <f t="shared" si="33"/>
        <v>0</v>
      </c>
      <c r="X26" s="4">
        <f t="shared" si="34"/>
        <v>0</v>
      </c>
      <c r="Y26" s="4">
        <f t="shared" si="35"/>
        <v>0</v>
      </c>
      <c r="Z26" s="2">
        <f>VLOOKUP($A26,Servings!$C:$K,2,FALSE)</f>
        <v>140</v>
      </c>
      <c r="AA26" s="2" t="str">
        <f>VLOOKUP($A26,Servings!$C:$K,3,FALSE)</f>
        <v>g</v>
      </c>
      <c r="AB26" s="2">
        <f>VLOOKUP($A26,Servings!$C:$K,4,FALSE)</f>
        <v>1</v>
      </c>
      <c r="AC26" s="2" t="str">
        <f>VLOOKUP($A26,Servings!$C:$K,5,FALSE)</f>
        <v>cup</v>
      </c>
      <c r="AD26" s="14">
        <f>VLOOKUP($A26,Servings!$C:$K,6,FALSE)</f>
        <v>80</v>
      </c>
      <c r="AE26" s="2">
        <f>VLOOKUP($A26,Servings!$C:$K,7,FALSE)</f>
        <v>0</v>
      </c>
      <c r="AF26" s="2">
        <f>VLOOKUP($A26,Servings!$C:$K,8,FALSE)</f>
        <v>18</v>
      </c>
      <c r="AG26" s="2">
        <f>VLOOKUP($A26,Servings!$C:$K,9,FALSE)</f>
        <v>1</v>
      </c>
      <c r="AH26">
        <f>VLOOKUP($A26,Servings!$C:$Y,10,FALSE)</f>
        <v>0</v>
      </c>
      <c r="AI26">
        <f>VLOOKUP($A26,Servings!$C:$Y,11,FALSE)</f>
        <v>0</v>
      </c>
      <c r="AJ26">
        <f>VLOOKUP($A26,Servings!$C:$Y,12,FALSE)</f>
        <v>2</v>
      </c>
      <c r="AK26">
        <f>VLOOKUP($A26,Servings!$C:$Y,13,FALSE)</f>
        <v>0.4</v>
      </c>
      <c r="AL26">
        <f>VLOOKUP($A26,Servings!$C:$Y,14,FALSE)</f>
        <v>0</v>
      </c>
      <c r="AM26">
        <f>VLOOKUP($A26,Servings!$C:$Y,15,FALSE)</f>
        <v>0</v>
      </c>
      <c r="AN26">
        <f>VLOOKUP($A26,Servings!$C:$Y,16,FALSE)</f>
        <v>150</v>
      </c>
      <c r="AO26">
        <f>VLOOKUP($A26,Servings!$C:$Y,17,FALSE)</f>
        <v>0</v>
      </c>
      <c r="AP26">
        <f>VLOOKUP($A26,Servings!$C:$Y,18,FALSE)</f>
        <v>0</v>
      </c>
      <c r="AQ26">
        <f>VLOOKUP($A26,Servings!$C:$Y,19,FALSE)</f>
        <v>14</v>
      </c>
      <c r="AR26">
        <f>VLOOKUP($A26,Servings!$C:$Y,20,FALSE)</f>
        <v>0</v>
      </c>
      <c r="AS26">
        <f>VLOOKUP($A26,Servings!$C:$Y,21,FALSE)</f>
        <v>0</v>
      </c>
      <c r="AT26">
        <f>VLOOKUP($A26,Servings!$C:$Y,22,FALSE)</f>
        <v>0</v>
      </c>
      <c r="AU26">
        <f>VLOOKUP($A26,Servings!$C:$Y,23,FALSE)</f>
        <v>0</v>
      </c>
    </row>
    <row r="27" spans="1:47" x14ac:dyDescent="0.25">
      <c r="A27" s="2" t="s">
        <v>35</v>
      </c>
      <c r="B27" s="2">
        <v>68</v>
      </c>
      <c r="C27" s="2" t="str">
        <f>IF(IFERROR(VLOOKUP(A27, Servings!C:G, 3, FALSE), "")=0, "", IFERROR(VLOOKUP(A27, Servings!C:G, 3, FALSE), ""))</f>
        <v>g</v>
      </c>
      <c r="D27" s="2" t="str">
        <f>IF(IFERROR(VLOOKUP(A27, Servings!C:G, 5, FALSE), "")=0, "", IFERROR(VLOOKUP(A27, Servings!C:G, 5, FALSE), ""))</f>
        <v/>
      </c>
      <c r="E27" s="2" t="s">
        <v>28</v>
      </c>
      <c r="F27" s="19" t="s">
        <v>242</v>
      </c>
      <c r="G27" s="3">
        <f>IF(E27=AC27, B27/AB27, IF(E27=AA27, B27/Z27, "Condition not met"))</f>
        <v>0.37777777777777777</v>
      </c>
      <c r="H27" s="4">
        <f>$G27*AD27</f>
        <v>80.592592592592581</v>
      </c>
      <c r="I27" s="4">
        <f t="shared" si="19"/>
        <v>0</v>
      </c>
      <c r="J27" s="4">
        <f t="shared" si="20"/>
        <v>18.133333333333333</v>
      </c>
      <c r="K27" s="4">
        <f t="shared" si="21"/>
        <v>1.5111111111111111</v>
      </c>
      <c r="L27" s="4">
        <f t="shared" si="22"/>
        <v>0</v>
      </c>
      <c r="M27" s="4">
        <f t="shared" si="23"/>
        <v>1.0074074074074073</v>
      </c>
      <c r="N27" s="4">
        <f t="shared" si="24"/>
        <v>0</v>
      </c>
      <c r="O27" s="4">
        <f t="shared" si="25"/>
        <v>0</v>
      </c>
      <c r="P27" s="4">
        <f t="shared" si="26"/>
        <v>0</v>
      </c>
      <c r="Q27" s="4">
        <f t="shared" si="27"/>
        <v>0</v>
      </c>
      <c r="R27" s="4">
        <f t="shared" si="28"/>
        <v>0</v>
      </c>
      <c r="S27" s="4">
        <f t="shared" si="29"/>
        <v>0</v>
      </c>
      <c r="T27" s="4">
        <f t="shared" si="30"/>
        <v>0</v>
      </c>
      <c r="U27" s="4">
        <f t="shared" si="31"/>
        <v>0</v>
      </c>
      <c r="V27" s="4">
        <f t="shared" si="32"/>
        <v>0</v>
      </c>
      <c r="W27" s="4">
        <f t="shared" si="33"/>
        <v>0</v>
      </c>
      <c r="X27" s="4">
        <f t="shared" si="34"/>
        <v>0</v>
      </c>
      <c r="Y27" s="4">
        <f t="shared" si="35"/>
        <v>0</v>
      </c>
      <c r="Z27" s="2">
        <f>VLOOKUP($A27,Servings!$C:$K,2,FALSE)</f>
        <v>180</v>
      </c>
      <c r="AA27" s="2" t="str">
        <f>VLOOKUP($A27,Servings!$C:$K,3,FALSE)</f>
        <v>g</v>
      </c>
      <c r="AB27" s="2">
        <f>VLOOKUP($A27,Servings!$C:$K,4,FALSE)</f>
        <v>0</v>
      </c>
      <c r="AC27" s="2">
        <f>VLOOKUP($A27,Servings!$C:$K,5,FALSE)</f>
        <v>0</v>
      </c>
      <c r="AD27" s="14">
        <f>VLOOKUP($A27,Servings!$C:$K,6,FALSE)</f>
        <v>213.33333333333331</v>
      </c>
      <c r="AE27" s="2">
        <f>VLOOKUP($A27,Servings!$C:$K,7,FALSE)</f>
        <v>0</v>
      </c>
      <c r="AF27" s="2">
        <f>VLOOKUP($A27,Servings!$C:$K,8,FALSE)</f>
        <v>48</v>
      </c>
      <c r="AG27" s="2">
        <f>VLOOKUP($A27,Servings!$C:$K,9,FALSE)</f>
        <v>4</v>
      </c>
      <c r="AH27">
        <f>VLOOKUP($A27,Servings!$C:$Y,10,FALSE)</f>
        <v>0</v>
      </c>
      <c r="AI27">
        <f>VLOOKUP($A27,Servings!$C:$Y,11,FALSE)</f>
        <v>2.6666666666666665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</v>
      </c>
      <c r="AP27">
        <f>VLOOKUP($A27,Servings!$C:$Y,18,FALSE)</f>
        <v>0</v>
      </c>
      <c r="AQ27">
        <f>VLOOKUP($A27,Servings!$C:$Y,19,FALSE)</f>
        <v>0</v>
      </c>
      <c r="AR27">
        <f>VLOOKUP($A27,Servings!$C:$Y,20,FALSE)</f>
        <v>0</v>
      </c>
      <c r="AS27">
        <f>VLOOKUP($A27,Servings!$C:$Y,21,FALSE)</f>
        <v>0</v>
      </c>
      <c r="AT27">
        <f>VLOOKUP($A27,Servings!$C:$Y,22,FALSE)</f>
        <v>0</v>
      </c>
      <c r="AU27">
        <f>VLOOKUP($A27,Servings!$C:$Y,23,FALSE)</f>
        <v>0</v>
      </c>
    </row>
    <row r="28" spans="1:47" x14ac:dyDescent="0.25">
      <c r="A28" s="2" t="s">
        <v>249</v>
      </c>
      <c r="B28" s="2">
        <v>70</v>
      </c>
      <c r="C28" s="2" t="str">
        <f>IF(IFERROR(VLOOKUP(A28, Servings!C:G, 3, FALSE), "")=0, "", IFERROR(VLOOKUP(A28, Servings!C:G, 3, FALSE), ""))</f>
        <v>g</v>
      </c>
      <c r="D28" s="2" t="str">
        <f>IF(IFERROR(VLOOKUP(A28, Servings!C:G, 5, FALSE), "")=0, "", IFERROR(VLOOKUP(A28, Servings!C:G, 5, FALSE), ""))</f>
        <v>oz</v>
      </c>
      <c r="E28" s="2" t="s">
        <v>28</v>
      </c>
      <c r="F28" s="19" t="s">
        <v>242</v>
      </c>
      <c r="G28" s="3">
        <f>IF(E28=AC28, B28/AB28, IF(E28=AA28, B28/Z28, "Condition not met"))</f>
        <v>1.2280701754385965</v>
      </c>
      <c r="H28" s="4">
        <f>$G28*AD28</f>
        <v>159.64912280701756</v>
      </c>
      <c r="I28" s="4">
        <f t="shared" si="19"/>
        <v>11.052631578947368</v>
      </c>
      <c r="J28" s="4">
        <f t="shared" si="20"/>
        <v>1.2280701754385965</v>
      </c>
      <c r="K28" s="4">
        <f t="shared" si="21"/>
        <v>15.964912280701755</v>
      </c>
      <c r="L28" s="4">
        <f t="shared" si="22"/>
        <v>1.2280701754385965</v>
      </c>
      <c r="M28" s="4">
        <f t="shared" si="23"/>
        <v>7.3684210526315788</v>
      </c>
      <c r="N28" s="4">
        <f t="shared" si="24"/>
        <v>0</v>
      </c>
      <c r="O28" s="4">
        <f t="shared" si="25"/>
        <v>0</v>
      </c>
      <c r="P28" s="4">
        <f t="shared" si="26"/>
        <v>0</v>
      </c>
      <c r="Q28" s="4">
        <f t="shared" si="27"/>
        <v>0</v>
      </c>
      <c r="R28" s="4">
        <f t="shared" si="28"/>
        <v>208.7719298245614</v>
      </c>
      <c r="S28" s="4">
        <f t="shared" si="29"/>
        <v>1.8421052631578947</v>
      </c>
      <c r="T28" s="4">
        <f t="shared" si="30"/>
        <v>921.0526315789474</v>
      </c>
      <c r="U28" s="4">
        <f t="shared" si="31"/>
        <v>1.2280701754385965</v>
      </c>
      <c r="V28" s="4">
        <f t="shared" si="32"/>
        <v>0</v>
      </c>
      <c r="W28" s="4">
        <f t="shared" si="33"/>
        <v>0</v>
      </c>
      <c r="X28" s="4">
        <f t="shared" si="34"/>
        <v>0</v>
      </c>
      <c r="Y28" s="4">
        <f t="shared" si="35"/>
        <v>7.3684210526315788</v>
      </c>
      <c r="Z28" s="2">
        <f>VLOOKUP($A28,Servings!$C:$K,2,FALSE)</f>
        <v>57</v>
      </c>
      <c r="AA28" s="2" t="str">
        <f>VLOOKUP($A28,Servings!$C:$K,3,FALSE)</f>
        <v>g</v>
      </c>
      <c r="AB28" s="2">
        <f>VLOOKUP($A28,Servings!$C:$K,4,FALSE)</f>
        <v>2</v>
      </c>
      <c r="AC28" s="2" t="str">
        <f>VLOOKUP($A28,Servings!$C:$K,5,FALSE)</f>
        <v>oz</v>
      </c>
      <c r="AD28" s="14">
        <f>VLOOKUP($A28,Servings!$C:$K,6,FALSE)</f>
        <v>130</v>
      </c>
      <c r="AE28" s="2">
        <f>VLOOKUP($A28,Servings!$C:$K,7,FALSE)</f>
        <v>9</v>
      </c>
      <c r="AF28" s="2">
        <f>VLOOKUP($A28,Servings!$C:$K,8,FALSE)</f>
        <v>1</v>
      </c>
      <c r="AG28" s="2">
        <f>VLOOKUP($A28,Servings!$C:$K,9,FALSE)</f>
        <v>13</v>
      </c>
      <c r="AH28">
        <f>VLOOKUP($A28,Servings!$C:$Y,10,FALSE)</f>
        <v>1</v>
      </c>
      <c r="AI28">
        <f>VLOOKUP($A28,Servings!$C:$Y,11,FALSE)</f>
        <v>6</v>
      </c>
      <c r="AJ28">
        <f>VLOOKUP($A28,Servings!$C:$Y,12,FALSE)</f>
        <v>0</v>
      </c>
      <c r="AK28">
        <f>VLOOKUP($A28,Servings!$C:$Y,13,FALSE)</f>
        <v>0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170</v>
      </c>
      <c r="AO28">
        <f>VLOOKUP($A28,Servings!$C:$Y,17,FALSE)</f>
        <v>1.5</v>
      </c>
      <c r="AP28">
        <f>VLOOKUP($A28,Servings!$C:$Y,18,FALSE)</f>
        <v>750</v>
      </c>
      <c r="AQ28">
        <f>VLOOKUP($A28,Servings!$C:$Y,19,FALSE)</f>
        <v>1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6</v>
      </c>
    </row>
    <row r="29" spans="1:47" x14ac:dyDescent="0.25">
      <c r="A29" s="2" t="s">
        <v>110</v>
      </c>
      <c r="B29" s="2">
        <v>130</v>
      </c>
      <c r="C29" s="2" t="str">
        <f>IF(IFERROR(VLOOKUP(A29, Servings!C:G, 3, FALSE), "")=0, "", IFERROR(VLOOKUP(A29, Servings!C:G, 3, FALSE), ""))</f>
        <v>g</v>
      </c>
      <c r="D29" s="2" t="str">
        <f>IF(IFERROR(VLOOKUP(A29, Servings!C:G, 5, FALSE), "")=0, "", IFERROR(VLOOKUP(A29, Servings!C:G, 5, FALSE), ""))</f>
        <v>cup</v>
      </c>
      <c r="E29" s="2" t="s">
        <v>28</v>
      </c>
      <c r="F29" s="19" t="s">
        <v>242</v>
      </c>
      <c r="G29" s="3">
        <f>IF(E29=AC29, B29/AB29, IF(E29=AA29, B29/Z29, "Condition not met"))</f>
        <v>1</v>
      </c>
      <c r="H29" s="4">
        <f>$G29*AD29</f>
        <v>120</v>
      </c>
      <c r="I29" s="4">
        <f t="shared" si="19"/>
        <v>0.5</v>
      </c>
      <c r="J29" s="4">
        <f t="shared" si="20"/>
        <v>22</v>
      </c>
      <c r="K29" s="4">
        <f t="shared" si="21"/>
        <v>7</v>
      </c>
      <c r="L29" s="4">
        <f t="shared" si="22"/>
        <v>0</v>
      </c>
      <c r="M29" s="4">
        <f t="shared" si="23"/>
        <v>50</v>
      </c>
      <c r="N29" s="4">
        <f t="shared" si="24"/>
        <v>6</v>
      </c>
      <c r="O29" s="4">
        <f t="shared" si="25"/>
        <v>1.7</v>
      </c>
      <c r="P29" s="4">
        <f t="shared" si="26"/>
        <v>0</v>
      </c>
      <c r="Q29" s="4">
        <f t="shared" si="27"/>
        <v>0</v>
      </c>
      <c r="R29" s="4">
        <f t="shared" si="28"/>
        <v>480</v>
      </c>
      <c r="S29" s="4">
        <f t="shared" si="29"/>
        <v>0</v>
      </c>
      <c r="T29" s="4">
        <f t="shared" si="30"/>
        <v>410</v>
      </c>
      <c r="U29" s="4">
        <f t="shared" si="31"/>
        <v>0</v>
      </c>
      <c r="V29" s="4">
        <f t="shared" si="32"/>
        <v>0</v>
      </c>
      <c r="W29" s="4">
        <f t="shared" si="33"/>
        <v>0</v>
      </c>
      <c r="X29" s="4">
        <f t="shared" si="34"/>
        <v>0</v>
      </c>
      <c r="Y29" s="4">
        <f t="shared" si="35"/>
        <v>0</v>
      </c>
      <c r="Z29" s="2">
        <f>VLOOKUP($A29,Servings!$C:$K,2,FALSE)</f>
        <v>130</v>
      </c>
      <c r="AA29" s="2" t="str">
        <f>VLOOKUP($A29,Servings!$C:$K,3,FALSE)</f>
        <v>g</v>
      </c>
      <c r="AB29" s="2">
        <f>VLOOKUP($A29,Servings!$C:$K,4,FALSE)</f>
        <v>0.5</v>
      </c>
      <c r="AC29" s="2" t="str">
        <f>VLOOKUP($A29,Servings!$C:$K,5,FALSE)</f>
        <v>cup</v>
      </c>
      <c r="AD29" s="14">
        <f>VLOOKUP($A29,Servings!$C:$K,6,FALSE)</f>
        <v>120</v>
      </c>
      <c r="AE29" s="2">
        <f>VLOOKUP($A29,Servings!$C:$K,7,FALSE)</f>
        <v>0.5</v>
      </c>
      <c r="AF29" s="2">
        <f>VLOOKUP($A29,Servings!$C:$K,8,FALSE)</f>
        <v>22</v>
      </c>
      <c r="AG29" s="2">
        <f>VLOOKUP($A29,Servings!$C:$K,9,FALSE)</f>
        <v>7</v>
      </c>
      <c r="AH29">
        <f>VLOOKUP($A29,Servings!$C:$Y,10,FALSE)</f>
        <v>0</v>
      </c>
      <c r="AI29">
        <f>VLOOKUP($A29,Servings!$C:$Y,11,FALSE)</f>
        <v>50</v>
      </c>
      <c r="AJ29">
        <f>VLOOKUP($A29,Servings!$C:$Y,12,FALSE)</f>
        <v>6</v>
      </c>
      <c r="AK29">
        <f>VLOOKUP($A29,Servings!$C:$Y,13,FALSE)</f>
        <v>1.7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480</v>
      </c>
      <c r="AO29">
        <f>VLOOKUP($A29,Servings!$C:$Y,17,FALSE)</f>
        <v>0</v>
      </c>
      <c r="AP29">
        <f>VLOOKUP($A29,Servings!$C:$Y,18,FALSE)</f>
        <v>410</v>
      </c>
      <c r="AQ29">
        <f>VLOOKUP($A29,Servings!$C:$Y,19,FALSE)</f>
        <v>0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30" s="2" t="s">
        <v>252</v>
      </c>
      <c r="B30" s="2">
        <v>91</v>
      </c>
      <c r="C30" s="2" t="str">
        <f>IF(IFERROR(VLOOKUP(A30, Servings!C:G, 3, FALSE), "")=0, "", IFERROR(VLOOKUP(A30, Servings!C:G, 3, FALSE), ""))</f>
        <v>g</v>
      </c>
      <c r="D30" s="2" t="str">
        <f>IF(IFERROR(VLOOKUP(A30, Servings!C:G, 5, FALSE), "")=0, "", IFERROR(VLOOKUP(A30, Servings!C:G, 5, FALSE), ""))</f>
        <v>cup prepared</v>
      </c>
      <c r="E30" s="2" t="s">
        <v>28</v>
      </c>
      <c r="F30" s="19" t="s">
        <v>243</v>
      </c>
      <c r="G30" s="3">
        <f>IF(E30=AC30, B30/AB30, IF(E30=AA30, B30/Z30, "Condition not met"))</f>
        <v>0.94791666666666663</v>
      </c>
      <c r="H30" s="4">
        <f>$G30*AD30</f>
        <v>18.958333333333332</v>
      </c>
      <c r="I30" s="4">
        <f t="shared" si="19"/>
        <v>0</v>
      </c>
      <c r="J30" s="4">
        <f t="shared" si="20"/>
        <v>3.7916666666666665</v>
      </c>
      <c r="K30" s="4">
        <f t="shared" si="21"/>
        <v>1.8958333333333333</v>
      </c>
      <c r="L30" s="4">
        <f t="shared" si="22"/>
        <v>0</v>
      </c>
      <c r="M30" s="4">
        <f t="shared" si="23"/>
        <v>0</v>
      </c>
      <c r="N30" s="4">
        <f t="shared" si="24"/>
        <v>1.8958333333333333</v>
      </c>
      <c r="O30" s="4">
        <f t="shared" si="25"/>
        <v>0</v>
      </c>
      <c r="P30" s="4">
        <f t="shared" si="26"/>
        <v>0</v>
      </c>
      <c r="Q30" s="4">
        <f t="shared" si="27"/>
        <v>0</v>
      </c>
      <c r="R30" s="4">
        <f t="shared" si="28"/>
        <v>218.02083333333331</v>
      </c>
      <c r="S30" s="4">
        <f t="shared" si="29"/>
        <v>0</v>
      </c>
      <c r="T30" s="4">
        <f t="shared" si="30"/>
        <v>18.958333333333332</v>
      </c>
      <c r="U30" s="4">
        <f t="shared" si="31"/>
        <v>1.8958333333333333</v>
      </c>
      <c r="V30" s="4">
        <f t="shared" si="32"/>
        <v>0</v>
      </c>
      <c r="W30" s="4">
        <f t="shared" si="33"/>
        <v>0</v>
      </c>
      <c r="X30" s="4">
        <f t="shared" si="34"/>
        <v>0</v>
      </c>
      <c r="Y30" s="4">
        <f t="shared" si="35"/>
        <v>0</v>
      </c>
      <c r="Z30" s="2">
        <f>VLOOKUP($A30,Servings!$C:$K,2,FALSE)</f>
        <v>96</v>
      </c>
      <c r="AA30" s="2" t="str">
        <f>VLOOKUP($A30,Servings!$C:$K,3,FALSE)</f>
        <v>g</v>
      </c>
      <c r="AB30" s="2">
        <f>VLOOKUP($A30,Servings!$C:$K,4,FALSE)</f>
        <v>0.75</v>
      </c>
      <c r="AC30" s="2" t="str">
        <f>VLOOKUP($A30,Servings!$C:$K,5,FALSE)</f>
        <v>cup prepared</v>
      </c>
      <c r="AD30" s="14">
        <f>VLOOKUP($A30,Servings!$C:$K,6,FALSE)</f>
        <v>20</v>
      </c>
      <c r="AE30" s="2">
        <f>VLOOKUP($A30,Servings!$C:$K,7,FALSE)</f>
        <v>0</v>
      </c>
      <c r="AF30" s="2">
        <f>VLOOKUP($A30,Servings!$C:$K,8,FALSE)</f>
        <v>4</v>
      </c>
      <c r="AG30" s="2">
        <f>VLOOKUP($A30,Servings!$C:$K,9,FALSE)</f>
        <v>2</v>
      </c>
      <c r="AH30">
        <f>VLOOKUP($A30,Servings!$C:$Y,10,FALSE)</f>
        <v>0</v>
      </c>
      <c r="AI30">
        <f>VLOOKUP($A30,Servings!$C:$Y,11,FALSE)</f>
        <v>0</v>
      </c>
      <c r="AJ30">
        <f>VLOOKUP($A30,Servings!$C:$Y,12,FALSE)</f>
        <v>2</v>
      </c>
      <c r="AK30">
        <f>VLOOKUP($A30,Servings!$C:$Y,13,FALSE)</f>
        <v>0</v>
      </c>
      <c r="AL30">
        <f>VLOOKUP($A30,Servings!$C:$Y,14,FALSE)</f>
        <v>0</v>
      </c>
      <c r="AM30">
        <f>VLOOKUP($A30,Servings!$C:$Y,15,FALSE)</f>
        <v>0</v>
      </c>
      <c r="AN30">
        <f>VLOOKUP($A30,Servings!$C:$Y,16,FALSE)</f>
        <v>230</v>
      </c>
      <c r="AO30">
        <f>VLOOKUP($A30,Servings!$C:$Y,17,FALSE)</f>
        <v>0</v>
      </c>
      <c r="AP30">
        <f>VLOOKUP($A30,Servings!$C:$Y,18,FALSE)</f>
        <v>20</v>
      </c>
      <c r="AQ30">
        <f>VLOOKUP($A30,Servings!$C:$Y,19,FALSE)</f>
        <v>2</v>
      </c>
      <c r="AR30">
        <f>VLOOKUP($A30,Servings!$C:$Y,20,FALSE)</f>
        <v>0</v>
      </c>
      <c r="AS30">
        <f>VLOOKUP($A30,Servings!$C:$Y,21,FALSE)</f>
        <v>0</v>
      </c>
      <c r="AT30">
        <f>VLOOKUP($A30,Servings!$C:$Y,22,FALSE)</f>
        <v>0</v>
      </c>
      <c r="AU30">
        <f>VLOOKUP($A30,Servings!$C:$Y,23,FALSE)</f>
        <v>0</v>
      </c>
    </row>
    <row r="31" spans="1:47" x14ac:dyDescent="0.25">
      <c r="A31" s="2" t="s">
        <v>172</v>
      </c>
      <c r="B31" s="2">
        <v>375</v>
      </c>
      <c r="C31" s="2" t="str">
        <f>IF(IFERROR(VLOOKUP(A31, Servings!C:G, 3, FALSE), "")=0, "", IFERROR(VLOOKUP(A31, Servings!C:G, 3, FALSE), ""))</f>
        <v>g</v>
      </c>
      <c r="D31" s="2" t="str">
        <f>IF(IFERROR(VLOOKUP(A31, Servings!C:G, 5, FALSE), "")=0, "", IFERROR(VLOOKUP(A31, Servings!C:G, 5, FALSE), ""))</f>
        <v>serving</v>
      </c>
      <c r="E31" s="2" t="s">
        <v>28</v>
      </c>
      <c r="F31" s="19" t="s">
        <v>244</v>
      </c>
      <c r="G31" s="3">
        <f>IF(E31=AC31, B31/AB31, IF(E31=AA31, B31/Z31, "Condition not met"))</f>
        <v>3.3482142857142856</v>
      </c>
      <c r="H31" s="4">
        <f>$G31*AD31</f>
        <v>401.78571428571428</v>
      </c>
      <c r="I31" s="4">
        <f t="shared" ref="I31" si="36">$G31*AE31</f>
        <v>8.3705357142857135</v>
      </c>
      <c r="J31" s="4">
        <f t="shared" ref="J31" si="37">$G31*AF31</f>
        <v>0</v>
      </c>
      <c r="K31" s="4">
        <f t="shared" ref="K31" si="38">$G31*AG31</f>
        <v>77.008928571428569</v>
      </c>
      <c r="L31" s="4">
        <f t="shared" ref="L31" si="39">$G31*AH31</f>
        <v>0</v>
      </c>
      <c r="M31" s="4">
        <f t="shared" ref="M31" si="40">$G31*AI31</f>
        <v>0</v>
      </c>
      <c r="N31" s="4">
        <f t="shared" ref="N31" si="41">$G31*AJ31</f>
        <v>0</v>
      </c>
      <c r="O31" s="4">
        <f t="shared" ref="O31" si="42">$G31*AK31</f>
        <v>0</v>
      </c>
      <c r="P31" s="4">
        <f t="shared" ref="P31" si="43">$G31*AL31</f>
        <v>0</v>
      </c>
      <c r="Q31" s="4">
        <f t="shared" ref="Q31" si="44">$G31*AM31</f>
        <v>0</v>
      </c>
      <c r="R31" s="4">
        <f t="shared" ref="R31" si="45">$G31*AN31</f>
        <v>0</v>
      </c>
      <c r="S31" s="4">
        <f t="shared" ref="S31" si="46">$G31*AO31</f>
        <v>0</v>
      </c>
      <c r="T31" s="4">
        <f t="shared" ref="T31" si="47">$G31*AP31</f>
        <v>0</v>
      </c>
      <c r="U31" s="4">
        <f t="shared" ref="U31" si="48">$G31*AQ31</f>
        <v>0</v>
      </c>
      <c r="V31" s="4">
        <f t="shared" ref="V31" si="49">$G31*AR31</f>
        <v>0</v>
      </c>
      <c r="W31" s="4">
        <f t="shared" ref="W31" si="50">$G31*AS31</f>
        <v>0</v>
      </c>
      <c r="X31" s="4">
        <f t="shared" ref="X31" si="51">$G31*AT31</f>
        <v>0</v>
      </c>
      <c r="Y31" s="4">
        <f t="shared" ref="Y31" si="52">$G31*AU31</f>
        <v>0</v>
      </c>
      <c r="Z31" s="2">
        <f>VLOOKUP($A31,Servings!$C:$K,2,FALSE)</f>
        <v>112</v>
      </c>
      <c r="AA31" s="2" t="str">
        <f>VLOOKUP($A31,Servings!$C:$K,3,FALSE)</f>
        <v>g</v>
      </c>
      <c r="AB31" s="2">
        <f>VLOOKUP($A31,Servings!$C:$K,4,FALSE)</f>
        <v>1</v>
      </c>
      <c r="AC31" s="2" t="str">
        <f>VLOOKUP($A31,Servings!$C:$K,5,FALSE)</f>
        <v>serving</v>
      </c>
      <c r="AD31" s="14">
        <f>VLOOKUP($A31,Servings!$C:$K,6,FALSE)</f>
        <v>120</v>
      </c>
      <c r="AE31" s="2">
        <f>VLOOKUP($A31,Servings!$C:$K,7,FALSE)</f>
        <v>2.5</v>
      </c>
      <c r="AF31" s="2">
        <f>VLOOKUP($A31,Servings!$C:$K,8,FALSE)</f>
        <v>0</v>
      </c>
      <c r="AG31" s="2">
        <f>VLOOKUP($A31,Servings!$C:$K,9,FALSE)</f>
        <v>23</v>
      </c>
      <c r="AH31">
        <f>VLOOKUP($A31,Servings!$C:$Y,10,FALSE)</f>
        <v>0</v>
      </c>
      <c r="AI31">
        <f>VLOOKUP($A31,Servings!$C:$Y,11,FALSE)</f>
        <v>0</v>
      </c>
      <c r="AJ31">
        <f>VLOOKUP($A31,Servings!$C:$Y,12,FALSE)</f>
        <v>0</v>
      </c>
      <c r="AK31">
        <f>VLOOKUP($A31,Servings!$C:$Y,13,FALSE)</f>
        <v>0</v>
      </c>
      <c r="AL31">
        <f>VLOOKUP($A31,Servings!$C:$Y,14,FALSE)</f>
        <v>0</v>
      </c>
      <c r="AM31">
        <f>VLOOKUP($A31,Servings!$C:$Y,15,FALSE)</f>
        <v>0</v>
      </c>
      <c r="AN31">
        <f>VLOOKUP($A31,Servings!$C:$Y,16,FALSE)</f>
        <v>0</v>
      </c>
      <c r="AO31">
        <f>VLOOKUP($A31,Servings!$C:$Y,17,FALSE)</f>
        <v>0</v>
      </c>
      <c r="AP31">
        <f>VLOOKUP($A31,Servings!$C:$Y,18,FALSE)</f>
        <v>0</v>
      </c>
      <c r="AQ31">
        <f>VLOOKUP($A31,Servings!$C:$Y,19,FALSE)</f>
        <v>0</v>
      </c>
      <c r="AR31">
        <f>VLOOKUP($A31,Servings!$C:$Y,20,FALSE)</f>
        <v>0</v>
      </c>
      <c r="AS31">
        <f>VLOOKUP($A31,Servings!$C:$Y,21,FALSE)</f>
        <v>0</v>
      </c>
      <c r="AT31">
        <f>VLOOKUP($A31,Servings!$C:$Y,22,FALSE)</f>
        <v>0</v>
      </c>
      <c r="AU31">
        <f>VLOOKUP($A31,Servings!$C:$Y,23,FALSE)</f>
        <v>0</v>
      </c>
    </row>
  </sheetData>
  <phoneticPr fontId="4" type="noConversion"/>
  <conditionalFormatting sqref="H10">
    <cfRule type="colorScale" priority="27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26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25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24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M10">
    <cfRule type="colorScale" priority="22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21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20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R10">
    <cfRule type="colorScale" priority="17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S10">
    <cfRule type="colorScale" priority="16">
      <colorScale>
        <cfvo type="num" val="0"/>
        <cfvo type="formula" val="$S$6"/>
        <color theme="0"/>
        <color rgb="FFF8696B"/>
      </colorScale>
    </cfRule>
  </conditionalFormatting>
  <conditionalFormatting sqref="T10">
    <cfRule type="colorScale" priority="15">
      <colorScale>
        <cfvo type="num" val="0"/>
        <cfvo type="formula" val="$T$6"/>
        <color theme="0"/>
        <color rgb="FFF8696B"/>
      </colorScale>
    </cfRule>
  </conditionalFormatting>
  <conditionalFormatting sqref="U10">
    <cfRule type="colorScale" priority="14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V10">
    <cfRule type="colorScale" priority="13">
      <colorScale>
        <cfvo type="formula" val="-$V$6"/>
        <cfvo type="formula" val="$V$6"/>
        <color theme="0"/>
        <color rgb="FFF8696B"/>
      </colorScale>
    </cfRule>
  </conditionalFormatting>
  <conditionalFormatting sqref="X10">
    <cfRule type="colorScale" priority="11">
      <colorScale>
        <cfvo type="formula" val="-$X$6"/>
        <cfvo type="num" val="0"/>
        <color rgb="FF5A8AC6"/>
        <color theme="0"/>
      </colorScale>
    </cfRule>
  </conditionalFormatting>
  <conditionalFormatting sqref="Y10">
    <cfRule type="colorScale" priority="10">
      <colorScale>
        <cfvo type="formula" val="-$Y$6"/>
        <cfvo type="formula" val="$Y$6"/>
        <color rgb="FF5A8AC6"/>
        <color theme="0"/>
      </colorScale>
    </cfRule>
  </conditionalFormatting>
  <conditionalFormatting sqref="W10">
    <cfRule type="colorScale" priority="6">
      <colorScale>
        <cfvo type="formula" val="-$W$6"/>
        <cfvo type="num" val="0"/>
        <color rgb="FF5A8AC6"/>
        <color theme="0"/>
      </colorScale>
    </cfRule>
  </conditionalFormatting>
  <conditionalFormatting sqref="L10">
    <cfRule type="colorScale" priority="5">
      <colorScale>
        <cfvo type="num" val="0"/>
        <cfvo type="formula" val="$L$6"/>
        <color theme="0"/>
        <color rgb="FFF8696B"/>
      </colorScale>
    </cfRule>
  </conditionalFormatting>
  <conditionalFormatting sqref="L20">
    <cfRule type="colorScale" priority="3">
      <colorScale>
        <cfvo type="min"/>
        <cfvo type="num" val="20"/>
        <color rgb="FFFCFCFF"/>
        <color rgb="FFF8696B"/>
      </colorScale>
    </cfRule>
  </conditionalFormatting>
  <conditionalFormatting sqref="S20">
    <cfRule type="colorScale" priority="4">
      <colorScale>
        <cfvo type="min"/>
        <cfvo type="num" val="20"/>
        <color rgb="FFFCFCFF"/>
        <color rgb="FFF8696B"/>
      </colorScale>
    </cfRule>
  </conditionalFormatting>
  <conditionalFormatting sqref="L19">
    <cfRule type="colorScale" priority="1">
      <colorScale>
        <cfvo type="min"/>
        <cfvo type="num" val="20"/>
        <color rgb="FFFCFCFF"/>
        <color rgb="FFF8696B"/>
      </colorScale>
    </cfRule>
  </conditionalFormatting>
  <conditionalFormatting sqref="S19">
    <cfRule type="colorScale" priority="2">
      <colorScale>
        <cfvo type="min"/>
        <cfvo type="num" val="20"/>
        <color rgb="FFFCFCFF"/>
        <color rgb="FFF8696B"/>
      </colorScale>
    </cfRule>
  </conditionalFormatting>
  <conditionalFormatting sqref="L13:L18 L21:L31">
    <cfRule type="colorScale" priority="44">
      <colorScale>
        <cfvo type="min"/>
        <cfvo type="num" val="20"/>
        <color rgb="FFFCFCFF"/>
        <color rgb="FFF8696B"/>
      </colorScale>
    </cfRule>
  </conditionalFormatting>
  <conditionalFormatting sqref="S13:S18 S21:S31">
    <cfRule type="colorScale" priority="46">
      <colorScale>
        <cfvo type="min"/>
        <cfvo type="num" val="20"/>
        <color rgb="FFFCFCFF"/>
        <color rgb="FFF8696B"/>
      </colorScale>
    </cfRule>
  </conditionalFormatting>
  <dataValidations count="4">
    <dataValidation type="list" allowBlank="1" showInputMessage="1" showErrorMessage="1" sqref="G10" xr:uid="{620A4B8F-BACA-448E-B18B-8203568E76A1}">
      <formula1>Type_of_day</formula1>
    </dataValidation>
    <dataValidation type="list" allowBlank="1" showInputMessage="1" showErrorMessage="1" sqref="A13:A31" xr:uid="{FE690867-ED64-4A3F-A46C-90DDC52D944C}">
      <formula1>food_name</formula1>
    </dataValidation>
    <dataValidation type="list" allowBlank="1" showInputMessage="1" showErrorMessage="1" sqref="F13:F31" xr:uid="{4C22CBC3-1F0C-49E3-9F7E-2CC519EAEAA0}">
      <formula1>MealTime</formula1>
    </dataValidation>
    <dataValidation type="list" allowBlank="1" showInputMessage="1" showErrorMessage="1" sqref="E13:E31" xr:uid="{E19DB2CA-97E9-4899-BC35-18955CE1263F}">
      <formula1>OFFSET($C13,0,0,1,IF(D13&lt;&gt;"",2,1))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6695-7972-4231-958C-273C43C68673}">
  <sheetPr>
    <pageSetUpPr fitToPage="1"/>
  </sheetPr>
  <dimension ref="A2:AX32"/>
  <sheetViews>
    <sheetView zoomScaleNormal="100" workbookViewId="0">
      <selection activeCell="A13" sqref="A13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11" bestFit="1" customWidth="1"/>
    <col min="7" max="7" width="13.5703125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hidden="1" customWidth="1"/>
    <col min="27" max="27" width="19" hidden="1" customWidth="1"/>
    <col min="28" max="28" width="23.85546875" hidden="1" customWidth="1"/>
    <col min="29" max="29" width="32.5703125" hidden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x14ac:dyDescent="0.25">
      <c r="H2">
        <f>SUM(I2:K2)</f>
        <v>2858.7</v>
      </c>
      <c r="I2">
        <f>I6*9</f>
        <v>571.5</v>
      </c>
      <c r="J2">
        <f>J6*4</f>
        <v>1574.4</v>
      </c>
      <c r="K2">
        <f>K6*4</f>
        <v>712.8</v>
      </c>
    </row>
    <row r="3" spans="1:47" x14ac:dyDescent="0.25">
      <c r="G3" s="5" t="s">
        <v>52</v>
      </c>
      <c r="H3" s="5" t="s">
        <v>53</v>
      </c>
      <c r="I3" s="5" t="s">
        <v>55</v>
      </c>
      <c r="J3" s="5" t="s">
        <v>56</v>
      </c>
      <c r="K3" s="5" t="s">
        <v>54</v>
      </c>
      <c r="L3" s="11" t="s">
        <v>71</v>
      </c>
      <c r="M3" s="11" t="s">
        <v>72</v>
      </c>
      <c r="N3" s="11" t="s">
        <v>65</v>
      </c>
      <c r="O3" s="11" t="s">
        <v>73</v>
      </c>
      <c r="P3" s="11" t="s">
        <v>74</v>
      </c>
      <c r="Q3" s="11" t="s">
        <v>75</v>
      </c>
      <c r="R3" s="11" t="s">
        <v>66</v>
      </c>
      <c r="S3" s="11" t="s">
        <v>67</v>
      </c>
      <c r="T3" s="11" t="s">
        <v>68</v>
      </c>
      <c r="U3" s="11" t="s">
        <v>69</v>
      </c>
      <c r="V3" s="11" t="s">
        <v>70</v>
      </c>
      <c r="W3" s="11" t="s">
        <v>77</v>
      </c>
      <c r="X3" s="11" t="s">
        <v>78</v>
      </c>
      <c r="Y3" s="11" t="s">
        <v>76</v>
      </c>
    </row>
    <row r="4" spans="1:47" x14ac:dyDescent="0.25">
      <c r="G4" s="19" t="s">
        <v>169</v>
      </c>
      <c r="H4" s="19">
        <f>I4*9+J4*4+K4*4</f>
        <v>2429.5200000000004</v>
      </c>
      <c r="I4" s="19">
        <f>I6*0.8</f>
        <v>50.800000000000004</v>
      </c>
      <c r="J4" s="19">
        <f>J6*0.8</f>
        <v>314.88000000000005</v>
      </c>
      <c r="K4" s="19">
        <f>K6</f>
        <v>178.2</v>
      </c>
      <c r="L4" s="19">
        <v>36</v>
      </c>
      <c r="M4" s="19">
        <v>1000</v>
      </c>
      <c r="N4" s="19">
        <v>38</v>
      </c>
      <c r="O4" s="19">
        <v>8</v>
      </c>
      <c r="P4" s="19">
        <f>I4</f>
        <v>50.800000000000004</v>
      </c>
      <c r="Q4" s="19">
        <f>I4</f>
        <v>50.800000000000004</v>
      </c>
      <c r="R4" s="19">
        <v>3400</v>
      </c>
      <c r="S4" s="19">
        <v>32</v>
      </c>
      <c r="T4" s="19">
        <v>2300</v>
      </c>
      <c r="U4" s="24">
        <f>U9</f>
        <v>48.593382352941177</v>
      </c>
      <c r="V4" s="19">
        <v>2.8</v>
      </c>
      <c r="W4" s="19">
        <v>900</v>
      </c>
      <c r="X4" s="19">
        <v>90</v>
      </c>
      <c r="Y4" s="19">
        <v>20</v>
      </c>
    </row>
    <row r="5" spans="1:47" x14ac:dyDescent="0.25">
      <c r="G5" s="2" t="s">
        <v>57</v>
      </c>
      <c r="H5" s="2">
        <v>2358.6999999999998</v>
      </c>
      <c r="I5" s="2">
        <v>63.5</v>
      </c>
      <c r="J5" s="2">
        <v>268.60000000000002</v>
      </c>
      <c r="K5" s="2">
        <v>178.2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47" x14ac:dyDescent="0.25">
      <c r="G6" s="21" t="s">
        <v>58</v>
      </c>
      <c r="H6" s="19">
        <v>2858.7</v>
      </c>
      <c r="I6" s="19">
        <v>63.5</v>
      </c>
      <c r="J6" s="19">
        <v>393.6</v>
      </c>
      <c r="K6" s="19">
        <v>178.2</v>
      </c>
      <c r="L6" s="19">
        <v>36</v>
      </c>
      <c r="M6" s="19">
        <v>1000</v>
      </c>
      <c r="N6" s="19">
        <v>38</v>
      </c>
      <c r="O6" s="19">
        <v>8</v>
      </c>
      <c r="P6" s="19">
        <f>I6</f>
        <v>63.5</v>
      </c>
      <c r="Q6" s="19">
        <f>I6</f>
        <v>63.5</v>
      </c>
      <c r="R6" s="19">
        <v>3400</v>
      </c>
      <c r="S6" s="19">
        <v>32</v>
      </c>
      <c r="T6" s="19">
        <v>2300</v>
      </c>
      <c r="U6" s="24">
        <f>U9</f>
        <v>48.593382352941177</v>
      </c>
      <c r="V6" s="19">
        <v>2.8</v>
      </c>
      <c r="W6" s="19">
        <v>900</v>
      </c>
      <c r="X6" s="19">
        <v>90</v>
      </c>
      <c r="Y6" s="19">
        <v>20</v>
      </c>
    </row>
    <row r="7" spans="1:47" x14ac:dyDescent="0.25">
      <c r="G7" s="2" t="s">
        <v>59</v>
      </c>
      <c r="H7" s="2">
        <v>2858.7</v>
      </c>
      <c r="I7" s="2">
        <v>63.5</v>
      </c>
      <c r="J7" s="2">
        <v>442.2</v>
      </c>
      <c r="K7" s="2">
        <v>129.6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47" ht="15" customHeight="1" x14ac:dyDescent="0.25">
      <c r="G8" s="2" t="s">
        <v>60</v>
      </c>
      <c r="H8" s="2">
        <v>3358.7</v>
      </c>
      <c r="I8" s="2">
        <v>63.5</v>
      </c>
      <c r="J8" s="2">
        <v>518.6</v>
      </c>
      <c r="K8" s="2">
        <v>178.2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47" ht="15" customHeight="1" x14ac:dyDescent="0.25">
      <c r="G9" s="22" t="s">
        <v>61</v>
      </c>
      <c r="H9" s="4">
        <f>SUM(H13:H1048576)</f>
        <v>2875.3502412075941</v>
      </c>
      <c r="I9" s="4">
        <f>SUM(I13:I1048576)</f>
        <v>63.523869047619051</v>
      </c>
      <c r="J9" s="4">
        <f>SUM(J13:J1048576)</f>
        <v>393.61028291316529</v>
      </c>
      <c r="K9" s="4">
        <f>SUM(K13:K1048576)</f>
        <v>177.95530345471522</v>
      </c>
      <c r="L9" s="4">
        <f>SUM(L13:L1048576)</f>
        <v>7</v>
      </c>
      <c r="M9" s="4">
        <f>SUM(M13:M1048576)</f>
        <v>946.72167755991291</v>
      </c>
      <c r="N9" s="4">
        <f>SUM(N13:N1048576)</f>
        <v>14.024614845938375</v>
      </c>
      <c r="O9" s="4">
        <f>SUM(O13:O1048576)</f>
        <v>8.7715896358543404</v>
      </c>
      <c r="P9" s="4">
        <f>SUM(P13:P1048576)</f>
        <v>11.125</v>
      </c>
      <c r="Q9" s="4">
        <f>SUM(Q13:Q1048576)</f>
        <v>6.0208333333333339</v>
      </c>
      <c r="R9" s="4">
        <f>SUM(R13:R1048576)</f>
        <v>2710.3289565826335</v>
      </c>
      <c r="S9" s="4">
        <f>SUM(S13:S1048576)</f>
        <v>9.2916666666666661</v>
      </c>
      <c r="T9" s="4">
        <f>SUM(T13:T1048576)</f>
        <v>1386.6348039215684</v>
      </c>
      <c r="U9" s="4">
        <f>SUM(U13:U1048576)</f>
        <v>48.593382352941177</v>
      </c>
      <c r="V9" s="4">
        <f>SUM(V13:V1048576)</f>
        <v>0</v>
      </c>
      <c r="W9" s="4">
        <f>SUM(W13:W1048576)</f>
        <v>1032.3529411764707</v>
      </c>
      <c r="X9" s="4">
        <f>SUM(X13:X1048576)</f>
        <v>39.788235294117648</v>
      </c>
      <c r="Y9" s="4">
        <f>SUM(Y13:Y1048576)</f>
        <v>193.5</v>
      </c>
    </row>
    <row r="10" spans="1:47" ht="15" customHeight="1" x14ac:dyDescent="0.25">
      <c r="F10" s="11" t="s">
        <v>255</v>
      </c>
      <c r="G10" s="5" t="s">
        <v>58</v>
      </c>
      <c r="H10" s="23">
        <f>H9-VLOOKUP($G10,$G$3:$Y$8,COLUMN(H3)-6,FALSE)</f>
        <v>16.650241207594263</v>
      </c>
      <c r="I10" s="23">
        <f>I9-VLOOKUP($G10,$G$3:$Y$8,COLUMN(I3)-6,FALSE)</f>
        <v>2.3869047619051287E-2</v>
      </c>
      <c r="J10" s="23">
        <f>J9-VLOOKUP($G10,$G$3:$Y$8,COLUMN(J3)-6,FALSE)</f>
        <v>1.0282913165269747E-2</v>
      </c>
      <c r="K10" s="23">
        <f>K9-VLOOKUP($G10,$G$3:$Y$8,COLUMN(K3)-6,FALSE)</f>
        <v>-0.24469654528476781</v>
      </c>
      <c r="L10" s="23">
        <f>L9-VLOOKUP($G10,$G$3:$Y$8,COLUMN(L3)-6,FALSE)</f>
        <v>-29</v>
      </c>
      <c r="M10" s="23">
        <f>M9-VLOOKUP($G10,$G$3:$Y$8,COLUMN(M3)-6,FALSE)</f>
        <v>-53.278322440087095</v>
      </c>
      <c r="N10" s="23">
        <f>N9-VLOOKUP($G10,$G$3:$Y$8,COLUMN(N3)-6,FALSE)</f>
        <v>-23.975385154061627</v>
      </c>
      <c r="O10" s="23">
        <f>O9-VLOOKUP($G10,$G$3:$Y$8,COLUMN(O3)-6,FALSE)</f>
        <v>0.77158963585434037</v>
      </c>
      <c r="P10" s="23">
        <f>P9-VLOOKUP($G10,$G$3:$Y$8,COLUMN(P3)-6,FALSE)</f>
        <v>-52.375</v>
      </c>
      <c r="Q10" s="23">
        <f>Q9-VLOOKUP($G10,$G$3:$Y$8,COLUMN(Q3)-6,FALSE)</f>
        <v>-57.479166666666664</v>
      </c>
      <c r="R10" s="23">
        <f>R9-VLOOKUP($G10,$G$3:$Y$8,COLUMN(R3)-6,FALSE)</f>
        <v>-689.67104341736649</v>
      </c>
      <c r="S10" s="23">
        <f>S9-VLOOKUP($G10,$G$3:$Y$8,COLUMN(S3)-6,FALSE)</f>
        <v>-22.708333333333336</v>
      </c>
      <c r="T10" s="23">
        <f>T9-VLOOKUP($G10,$G$3:$Y$8,COLUMN(T3)-6,FALSE)</f>
        <v>-913.36519607843161</v>
      </c>
      <c r="U10" s="23">
        <f>U9-VLOOKUP($G10,$G$3:$Y$8,COLUMN(U3)-6,FALSE)</f>
        <v>0</v>
      </c>
      <c r="V10" s="23">
        <f>V9-VLOOKUP($G10,$G$3:$Y$8,COLUMN(V3)-6,FALSE)</f>
        <v>-2.8</v>
      </c>
      <c r="W10" s="23">
        <f>W9-VLOOKUP($G10,$G$3:$Y$8,COLUMN(W3)-6,FALSE)</f>
        <v>132.35294117647072</v>
      </c>
      <c r="X10" s="23">
        <f>X9-VLOOKUP($G10,$G$3:$Y$8,COLUMN(X3)-6,FALSE)</f>
        <v>-50.211764705882352</v>
      </c>
      <c r="Y10" s="23">
        <f>Y9-VLOOKUP($G10,$G$3:$Y$8,COLUMN(Y3)-6,FALSE)</f>
        <v>173.5</v>
      </c>
    </row>
    <row r="11" spans="1:47" ht="15" customHeight="1" thickBot="1" x14ac:dyDescent="0.3">
      <c r="K11" s="6"/>
      <c r="L11" t="s">
        <v>256</v>
      </c>
      <c r="S11" t="s">
        <v>256</v>
      </c>
      <c r="V11" t="s">
        <v>256</v>
      </c>
    </row>
    <row r="12" spans="1:47" ht="15" customHeight="1" thickTop="1" thickBot="1" x14ac:dyDescent="0.3">
      <c r="A12" s="15"/>
      <c r="B12" s="15"/>
      <c r="C12" s="15"/>
      <c r="D12" s="15"/>
      <c r="E12" s="15"/>
      <c r="F12" s="15"/>
      <c r="G12" s="16" t="s">
        <v>43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71</v>
      </c>
      <c r="M12" s="11" t="s">
        <v>72</v>
      </c>
      <c r="N12" s="11" t="s">
        <v>65</v>
      </c>
      <c r="O12" s="11" t="s">
        <v>73</v>
      </c>
      <c r="P12" s="11" t="s">
        <v>74</v>
      </c>
      <c r="Q12" s="11" t="s">
        <v>75</v>
      </c>
      <c r="R12" s="11" t="s">
        <v>66</v>
      </c>
      <c r="S12" s="11" t="s">
        <v>67</v>
      </c>
      <c r="T12" s="11" t="s">
        <v>68</v>
      </c>
      <c r="U12" s="11" t="s">
        <v>69</v>
      </c>
      <c r="V12" s="11" t="s">
        <v>70</v>
      </c>
      <c r="W12" s="11" t="s">
        <v>77</v>
      </c>
      <c r="X12" s="11" t="s">
        <v>78</v>
      </c>
      <c r="Y12" s="11" t="s">
        <v>76</v>
      </c>
      <c r="Z12" s="17" t="s">
        <v>3</v>
      </c>
      <c r="AA12" s="17" t="s">
        <v>4</v>
      </c>
      <c r="AB12" s="17" t="s">
        <v>9</v>
      </c>
      <c r="AC12" s="17" t="s">
        <v>10</v>
      </c>
      <c r="AD12" s="13" t="s">
        <v>5</v>
      </c>
      <c r="AE12" s="7" t="s">
        <v>6</v>
      </c>
      <c r="AF12" s="7" t="s">
        <v>7</v>
      </c>
      <c r="AG12" s="7" t="s">
        <v>8</v>
      </c>
      <c r="AH12" s="7" t="s">
        <v>71</v>
      </c>
      <c r="AI12" s="7" t="s">
        <v>72</v>
      </c>
      <c r="AJ12" s="7" t="s">
        <v>65</v>
      </c>
      <c r="AK12" s="7" t="s">
        <v>73</v>
      </c>
      <c r="AL12" s="7" t="s">
        <v>74</v>
      </c>
      <c r="AM12" s="7" t="s">
        <v>75</v>
      </c>
      <c r="AN12" s="7" t="s">
        <v>66</v>
      </c>
      <c r="AO12" s="7" t="s">
        <v>67</v>
      </c>
      <c r="AP12" s="7" t="s">
        <v>68</v>
      </c>
      <c r="AQ12" s="7" t="s">
        <v>69</v>
      </c>
      <c r="AR12" s="7" t="s">
        <v>70</v>
      </c>
      <c r="AS12" s="7" t="s">
        <v>77</v>
      </c>
      <c r="AT12" s="7" t="s">
        <v>78</v>
      </c>
      <c r="AU12" s="7" t="s">
        <v>76</v>
      </c>
    </row>
    <row r="13" spans="1:47" ht="15" customHeight="1" thickTop="1" x14ac:dyDescent="0.25">
      <c r="A13" s="2" t="s">
        <v>26</v>
      </c>
      <c r="B13" s="2">
        <v>2</v>
      </c>
      <c r="C13" s="2" t="str">
        <f>IF(IFERROR(VLOOKUP(A13, Servings!C:G, 3, FALSE), "")=0, "", IFERROR(VLOOKUP(A13, Servings!C:G, 3, FALSE), ""))</f>
        <v/>
      </c>
      <c r="D13" s="2" t="str">
        <f>IF(IFERROR(VLOOKUP(A13, Servings!C:G, 5, FALSE), "")=0, "", IFERROR(VLOOKUP(A13, Servings!C:G, 5, FALSE), ""))</f>
        <v>gummies</v>
      </c>
      <c r="E13" s="2" t="s">
        <v>33</v>
      </c>
      <c r="F13" s="19" t="s">
        <v>240</v>
      </c>
      <c r="G13" s="3">
        <f>IF(E13=AC13, B13/AB13, IF(E13=AA13, B13/Z13, "Condition not met"))</f>
        <v>1</v>
      </c>
      <c r="H13" s="4">
        <f>$G13*AD13</f>
        <v>15</v>
      </c>
      <c r="I13" s="4">
        <f t="shared" ref="I13:X29" si="0">$G13*AE13</f>
        <v>0</v>
      </c>
      <c r="J13" s="4">
        <f t="shared" si="0"/>
        <v>4</v>
      </c>
      <c r="K13" s="4">
        <f t="shared" si="0"/>
        <v>0</v>
      </c>
      <c r="L13" s="4">
        <f t="shared" si="0"/>
        <v>3</v>
      </c>
      <c r="M13" s="4">
        <f t="shared" si="0"/>
        <v>3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0"/>
        <v>10</v>
      </c>
      <c r="U13" s="4">
        <f t="shared" si="0"/>
        <v>3</v>
      </c>
      <c r="V13" s="4">
        <f t="shared" si="0"/>
        <v>0</v>
      </c>
      <c r="W13" s="4">
        <f t="shared" si="0"/>
        <v>720</v>
      </c>
      <c r="X13" s="4">
        <f t="shared" si="0"/>
        <v>36</v>
      </c>
      <c r="Y13" s="4">
        <f t="shared" ref="X13:Y29" si="1">$G13*AU13</f>
        <v>25</v>
      </c>
      <c r="Z13" s="2">
        <f>VLOOKUP($A13,Servings!$C:$K,2,FALSE)</f>
        <v>0</v>
      </c>
      <c r="AA13" s="2">
        <f>VLOOKUP($A13,Servings!$C:$K,3,FALSE)</f>
        <v>0</v>
      </c>
      <c r="AB13" s="2">
        <f>VLOOKUP($A13,Servings!$C:$K,4,FALSE)</f>
        <v>2</v>
      </c>
      <c r="AC13" s="2" t="str">
        <f>VLOOKUP($A13,Servings!$C:$K,5,FALSE)</f>
        <v>gummies</v>
      </c>
      <c r="AD13" s="14">
        <f>VLOOKUP($A13,Servings!$C:$K,6,FALSE)</f>
        <v>15</v>
      </c>
      <c r="AE13" s="2">
        <f>VLOOKUP($A13,Servings!$C:$K,7,FALSE)</f>
        <v>0</v>
      </c>
      <c r="AF13" s="2">
        <f>VLOOKUP($A13,Servings!$C:$K,8,FALSE)</f>
        <v>4</v>
      </c>
      <c r="AG13" s="2">
        <f>VLOOKUP($A13,Servings!$C:$K,9,FALSE)</f>
        <v>0</v>
      </c>
      <c r="AH13">
        <f>VLOOKUP($A13,Servings!$C:$Y,10,FALSE)</f>
        <v>3</v>
      </c>
      <c r="AI13">
        <f>VLOOKUP($A13,Servings!$C:$Y,11,FALSE)</f>
        <v>3</v>
      </c>
      <c r="AJ13">
        <f>VLOOKUP($A13,Servings!$C:$Y,12,FALSE)</f>
        <v>0</v>
      </c>
      <c r="AK13">
        <f>VLOOKUP($A13,Servings!$C:$Y,13,FALSE)</f>
        <v>0</v>
      </c>
      <c r="AL13">
        <f>VLOOKUP($A13,Servings!$C:$Y,14,FALSE)</f>
        <v>0</v>
      </c>
      <c r="AM13">
        <f>VLOOKUP($A13,Servings!$C:$Y,15,FALSE)</f>
        <v>0</v>
      </c>
      <c r="AN13">
        <f>VLOOKUP($A13,Servings!$C:$Y,16,FALSE)</f>
        <v>0</v>
      </c>
      <c r="AO13">
        <f>VLOOKUP($A13,Servings!$C:$Y,17,FALSE)</f>
        <v>0</v>
      </c>
      <c r="AP13">
        <f>VLOOKUP($A13,Servings!$C:$Y,18,FALSE)</f>
        <v>10</v>
      </c>
      <c r="AQ13">
        <f>VLOOKUP($A13,Servings!$C:$Y,19,FALSE)</f>
        <v>3</v>
      </c>
      <c r="AR13">
        <f>VLOOKUP($A13,Servings!$C:$Y,20,FALSE)</f>
        <v>0</v>
      </c>
      <c r="AS13">
        <f>VLOOKUP($A13,Servings!$C:$Y,21,FALSE)</f>
        <v>720</v>
      </c>
      <c r="AT13">
        <f>VLOOKUP($A13,Servings!$C:$Y,22,FALSE)</f>
        <v>36</v>
      </c>
      <c r="AU13">
        <f>VLOOKUP($A13,Servings!$C:$Y,23,FALSE)</f>
        <v>25</v>
      </c>
    </row>
    <row r="14" spans="1:47" ht="15" customHeight="1" x14ac:dyDescent="0.25">
      <c r="A14" s="2" t="s">
        <v>160</v>
      </c>
      <c r="B14" s="2">
        <v>1</v>
      </c>
      <c r="C14" s="2" t="str">
        <f>IF(IFERROR(VLOOKUP(A14, Servings!C:G, 3, FALSE), "")=0, "", IFERROR(VLOOKUP(A14, Servings!C:G, 3, FALSE), ""))</f>
        <v/>
      </c>
      <c r="D14" s="2" t="str">
        <f>IF(IFERROR(VLOOKUP(A14, Servings!C:G, 5, FALSE), "")=0, "", IFERROR(VLOOKUP(A14, Servings!C:G, 5, FALSE), ""))</f>
        <v>capsule</v>
      </c>
      <c r="E14" s="2" t="s">
        <v>161</v>
      </c>
      <c r="F14" s="19" t="s">
        <v>240</v>
      </c>
      <c r="G14" s="3">
        <f>IF(E14=AC14, B14/AB14, IF(E14=AA14, B14/Z14, "Condition not met"))</f>
        <v>0.5</v>
      </c>
      <c r="H14" s="4">
        <f>$G14*AD14</f>
        <v>2.5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325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0"/>
        <v>2.5</v>
      </c>
      <c r="U14" s="4">
        <f t="shared" si="0"/>
        <v>0</v>
      </c>
      <c r="V14" s="4">
        <f t="shared" si="0"/>
        <v>0</v>
      </c>
      <c r="W14" s="4">
        <f t="shared" si="0"/>
        <v>0</v>
      </c>
      <c r="X14" s="4">
        <f t="shared" si="1"/>
        <v>0</v>
      </c>
      <c r="Y14" s="4">
        <f t="shared" si="1"/>
        <v>12.5</v>
      </c>
      <c r="Z14" s="2">
        <f>VLOOKUP($A14,Servings!$C:$K,2,FALSE)</f>
        <v>0</v>
      </c>
      <c r="AA14" s="2">
        <f>VLOOKUP($A14,Servings!$C:$K,3,FALSE)</f>
        <v>0</v>
      </c>
      <c r="AB14" s="2">
        <f>VLOOKUP($A14,Servings!$C:$K,4,FALSE)</f>
        <v>2</v>
      </c>
      <c r="AC14" s="2" t="str">
        <f>VLOOKUP($A14,Servings!$C:$K,5,FALSE)</f>
        <v>capsule</v>
      </c>
      <c r="AD14" s="14">
        <f>VLOOKUP($A14,Servings!$C:$K,6,FALSE)</f>
        <v>5</v>
      </c>
      <c r="AE14" s="2">
        <f>VLOOKUP($A14,Servings!$C:$K,7,FALSE)</f>
        <v>0</v>
      </c>
      <c r="AF14" s="2">
        <f>VLOOKUP($A14,Servings!$C:$K,8,FALSE)</f>
        <v>0</v>
      </c>
      <c r="AG14" s="2">
        <f>VLOOKUP($A14,Servings!$C:$K,9,FALSE)</f>
        <v>0</v>
      </c>
      <c r="AH14">
        <f>VLOOKUP($A14,Servings!$C:$Y,10,FALSE)</f>
        <v>0</v>
      </c>
      <c r="AI14">
        <f>VLOOKUP($A14,Servings!$C:$Y,11,FALSE)</f>
        <v>650</v>
      </c>
      <c r="AJ14">
        <f>VLOOKUP($A14,Servings!$C:$Y,12,FALSE)</f>
        <v>0</v>
      </c>
      <c r="AK14">
        <f>VLOOKUP($A14,Servings!$C:$Y,13,FALSE)</f>
        <v>0</v>
      </c>
      <c r="AL14">
        <f>VLOOKUP($A14,Servings!$C:$Y,14,FALSE)</f>
        <v>0</v>
      </c>
      <c r="AM14">
        <f>VLOOKUP($A14,Servings!$C:$Y,15,FALSE)</f>
        <v>0</v>
      </c>
      <c r="AN14">
        <f>VLOOKUP($A14,Servings!$C:$Y,16,FALSE)</f>
        <v>0</v>
      </c>
      <c r="AO14">
        <f>VLOOKUP($A14,Servings!$C:$Y,17,FALSE)</f>
        <v>0</v>
      </c>
      <c r="AP14">
        <f>VLOOKUP($A14,Servings!$C:$Y,18,FALSE)</f>
        <v>5</v>
      </c>
      <c r="AQ14">
        <f>VLOOKUP($A14,Servings!$C:$Y,19,FALSE)</f>
        <v>0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25</v>
      </c>
    </row>
    <row r="15" spans="1:47" x14ac:dyDescent="0.25">
      <c r="A15" s="2" t="s">
        <v>175</v>
      </c>
      <c r="B15" s="2">
        <v>1</v>
      </c>
      <c r="C15" s="2" t="str">
        <f>IF(IFERROR(VLOOKUP(A15, Servings!C:G, 3, FALSE), "")=0, "", IFERROR(VLOOKUP(A15, Servings!C:G, 3, FALSE), ""))</f>
        <v/>
      </c>
      <c r="D15" s="2" t="str">
        <f>IF(IFERROR(VLOOKUP(A15, Servings!C:G, 5, FALSE), "")=0, "", IFERROR(VLOOKUP(A15, Servings!C:G, 5, FALSE), ""))</f>
        <v>softgel</v>
      </c>
      <c r="E15" s="2" t="s">
        <v>157</v>
      </c>
      <c r="F15" s="19" t="s">
        <v>240</v>
      </c>
      <c r="G15" s="3">
        <f>IF(E15=AC15, B15/AB15, IF(E15=AA15, B15/Z15, "Condition not met"))</f>
        <v>1</v>
      </c>
      <c r="H15" s="4">
        <f>$G15*AD15</f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1"/>
        <v>0</v>
      </c>
      <c r="Y15" s="4">
        <f t="shared" si="1"/>
        <v>125</v>
      </c>
      <c r="Z15" s="2">
        <f>VLOOKUP($A15,Servings!$C:$K,2,FALSE)</f>
        <v>0</v>
      </c>
      <c r="AA15" s="2">
        <f>VLOOKUP($A15,Servings!$C:$K,3,FALSE)</f>
        <v>0</v>
      </c>
      <c r="AB15" s="2">
        <f>VLOOKUP($A15,Servings!$C:$K,4,FALSE)</f>
        <v>1</v>
      </c>
      <c r="AC15" s="2" t="str">
        <f>VLOOKUP($A15,Servings!$C:$K,5,FALSE)</f>
        <v>softgel</v>
      </c>
      <c r="AD15" s="14">
        <f>VLOOKUP($A15,Servings!$C:$K,6,FALSE)</f>
        <v>0</v>
      </c>
      <c r="AE15" s="2">
        <f>VLOOKUP($A15,Servings!$C:$K,7,FALSE)</f>
        <v>0</v>
      </c>
      <c r="AF15" s="2">
        <f>VLOOKUP($A15,Servings!$C:$K,8,FALSE)</f>
        <v>0</v>
      </c>
      <c r="AG15" s="2">
        <f>VLOOKUP($A15,Servings!$C:$K,9,FALSE)</f>
        <v>0</v>
      </c>
      <c r="AH15">
        <f>VLOOKUP($A15,Servings!$C:$Y,10,FALSE)</f>
        <v>0</v>
      </c>
      <c r="AI15">
        <f>VLOOKUP($A15,Servings!$C:$Y,11,FALSE)</f>
        <v>0</v>
      </c>
      <c r="AJ15">
        <f>VLOOKUP($A15,Servings!$C:$Y,12,FALSE)</f>
        <v>0</v>
      </c>
      <c r="AK15">
        <f>VLOOKUP($A15,Servings!$C:$Y,13,FALSE)</f>
        <v>0</v>
      </c>
      <c r="AL15">
        <f>VLOOKUP($A15,Servings!$C:$Y,14,FALSE)</f>
        <v>0</v>
      </c>
      <c r="AM15">
        <f>VLOOKUP($A15,Servings!$C:$Y,15,FALSE)</f>
        <v>0</v>
      </c>
      <c r="AN15">
        <f>VLOOKUP($A15,Servings!$C:$Y,16,FALSE)</f>
        <v>0</v>
      </c>
      <c r="AO15">
        <f>VLOOKUP($A15,Servings!$C:$Y,17,FALSE)</f>
        <v>0</v>
      </c>
      <c r="AP15">
        <f>VLOOKUP($A15,Servings!$C:$Y,18,FALSE)</f>
        <v>0</v>
      </c>
      <c r="AQ15">
        <f>VLOOKUP($A15,Servings!$C:$Y,19,FALSE)</f>
        <v>0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125</v>
      </c>
    </row>
    <row r="16" spans="1:47" x14ac:dyDescent="0.25">
      <c r="A16" s="2" t="s">
        <v>152</v>
      </c>
      <c r="B16" s="2">
        <v>2</v>
      </c>
      <c r="C16" s="2" t="str">
        <f>IF(IFERROR(VLOOKUP(A16, Servings!C:G, 3, FALSE), "")=0, "", IFERROR(VLOOKUP(A16, Servings!C:G, 3, FALSE), ""))</f>
        <v/>
      </c>
      <c r="D16" s="2" t="str">
        <f>IF(IFERROR(VLOOKUP(A16, Servings!C:G, 5, FALSE), "")=0, "", IFERROR(VLOOKUP(A16, Servings!C:G, 5, FALSE), ""))</f>
        <v>softgels</v>
      </c>
      <c r="E16" s="2" t="s">
        <v>153</v>
      </c>
      <c r="F16" s="19" t="s">
        <v>240</v>
      </c>
      <c r="G16" s="3">
        <f>IF(E16=AC16, B16/AB16, IF(E16=AA16, B16/Z16, "Condition not met"))</f>
        <v>1</v>
      </c>
      <c r="H16" s="4">
        <f>$G16*AD16</f>
        <v>35</v>
      </c>
      <c r="I16" s="4">
        <f t="shared" si="0"/>
        <v>3</v>
      </c>
      <c r="J16" s="4">
        <f t="shared" si="0"/>
        <v>1</v>
      </c>
      <c r="K16" s="4">
        <f t="shared" si="0"/>
        <v>0.5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0.5</v>
      </c>
      <c r="Q16" s="4">
        <f t="shared" si="0"/>
        <v>1</v>
      </c>
      <c r="R16" s="4">
        <f t="shared" si="0"/>
        <v>0</v>
      </c>
      <c r="S16" s="4">
        <f t="shared" si="0"/>
        <v>1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1"/>
        <v>0</v>
      </c>
      <c r="Y16" s="4">
        <f t="shared" si="1"/>
        <v>0</v>
      </c>
      <c r="Z16" s="2">
        <f>VLOOKUP($A16,Servings!$C:$K,2,FALSE)</f>
        <v>0</v>
      </c>
      <c r="AA16" s="2">
        <f>VLOOKUP($A16,Servings!$C:$K,3,FALSE)</f>
        <v>0</v>
      </c>
      <c r="AB16" s="2">
        <f>VLOOKUP($A16,Servings!$C:$K,4,FALSE)</f>
        <v>2</v>
      </c>
      <c r="AC16" s="2" t="str">
        <f>VLOOKUP($A16,Servings!$C:$K,5,FALSE)</f>
        <v>softgels</v>
      </c>
      <c r="AD16" s="14">
        <f>VLOOKUP($A16,Servings!$C:$K,6,FALSE)</f>
        <v>35</v>
      </c>
      <c r="AE16" s="2">
        <f>VLOOKUP($A16,Servings!$C:$K,7,FALSE)</f>
        <v>3</v>
      </c>
      <c r="AF16" s="2">
        <f>VLOOKUP($A16,Servings!$C:$K,8,FALSE)</f>
        <v>1</v>
      </c>
      <c r="AG16" s="2">
        <f>VLOOKUP($A16,Servings!$C:$K,9,FALSE)</f>
        <v>0.5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0.5</v>
      </c>
      <c r="AM16">
        <f>VLOOKUP($A16,Servings!$C:$Y,15,FALSE)</f>
        <v>1</v>
      </c>
      <c r="AN16">
        <f>VLOOKUP($A16,Servings!$C:$Y,16,FALSE)</f>
        <v>0</v>
      </c>
      <c r="AO16">
        <f>VLOOKUP($A16,Servings!$C:$Y,17,FALSE)</f>
        <v>1</v>
      </c>
      <c r="AP16">
        <f>VLOOKUP($A16,Servings!$C:$Y,18,FALSE)</f>
        <v>0</v>
      </c>
      <c r="AQ16">
        <f>VLOOKUP($A16,Servings!$C:$Y,19,FALSE)</f>
        <v>0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x14ac:dyDescent="0.25">
      <c r="A17" s="2" t="s">
        <v>156</v>
      </c>
      <c r="B17" s="2">
        <v>1</v>
      </c>
      <c r="C17" s="2" t="str">
        <f>IF(IFERROR(VLOOKUP(A17, Servings!C:G, 3, FALSE), "")=0, "", IFERROR(VLOOKUP(A17, Servings!C:G, 3, FALSE), ""))</f>
        <v/>
      </c>
      <c r="D17" s="2" t="str">
        <f>IF(IFERROR(VLOOKUP(A17, Servings!C:G, 5, FALSE), "")=0, "", IFERROR(VLOOKUP(A17, Servings!C:G, 5, FALSE), ""))</f>
        <v>softgel</v>
      </c>
      <c r="E17" s="2" t="s">
        <v>157</v>
      </c>
      <c r="F17" s="19" t="s">
        <v>240</v>
      </c>
      <c r="G17" s="3">
        <f>IF(E17=AC17, B17/AB17, IF(E17=AA17, B17/Z17, "Condition not met"))</f>
        <v>1</v>
      </c>
      <c r="H17" s="4">
        <f>$G17*AD17</f>
        <v>10</v>
      </c>
      <c r="I17" s="4">
        <f t="shared" si="0"/>
        <v>0.5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0.5</v>
      </c>
      <c r="T17" s="4">
        <f t="shared" si="0"/>
        <v>0</v>
      </c>
      <c r="U17" s="4">
        <f t="shared" si="0"/>
        <v>0</v>
      </c>
      <c r="V17" s="4">
        <f t="shared" si="0"/>
        <v>0</v>
      </c>
      <c r="W17" s="4">
        <f t="shared" si="0"/>
        <v>0</v>
      </c>
      <c r="X17" s="4">
        <f t="shared" si="1"/>
        <v>0</v>
      </c>
      <c r="Y17" s="4">
        <f t="shared" si="1"/>
        <v>0</v>
      </c>
      <c r="Z17" s="2">
        <f>VLOOKUP($A17,Servings!$C:$K,2,FALSE)</f>
        <v>0</v>
      </c>
      <c r="AA17" s="2">
        <f>VLOOKUP($A17,Servings!$C:$K,3,FALSE)</f>
        <v>0</v>
      </c>
      <c r="AB17" s="2">
        <f>VLOOKUP($A17,Servings!$C:$K,4,FALSE)</f>
        <v>1</v>
      </c>
      <c r="AC17" s="2" t="str">
        <f>VLOOKUP($A17,Servings!$C:$K,5,FALSE)</f>
        <v>softgel</v>
      </c>
      <c r="AD17" s="14">
        <f>VLOOKUP($A17,Servings!$C:$K,6,FALSE)</f>
        <v>10</v>
      </c>
      <c r="AE17" s="2">
        <f>VLOOKUP($A17,Servings!$C:$K,7,FALSE)</f>
        <v>0.5</v>
      </c>
      <c r="AF17" s="2">
        <f>VLOOKUP($A17,Servings!$C:$K,8,FALSE)</f>
        <v>0</v>
      </c>
      <c r="AG17" s="2">
        <f>VLOOKUP($A17,Servings!$C:$K,9,FALSE)</f>
        <v>0</v>
      </c>
      <c r="AH17">
        <f>VLOOKUP($A17,Servings!$C:$Y,10,FALSE)</f>
        <v>0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0</v>
      </c>
      <c r="AO17">
        <f>VLOOKUP($A17,Servings!$C:$Y,17,FALSE)</f>
        <v>0.5</v>
      </c>
      <c r="AP17">
        <f>VLOOKUP($A17,Servings!$C:$Y,18,FALSE)</f>
        <v>0</v>
      </c>
      <c r="AQ17">
        <f>VLOOKUP($A17,Servings!$C:$Y,19,FALSE)</f>
        <v>0</v>
      </c>
      <c r="AR17">
        <f>VLOOKUP($A17,Servings!$C:$Y,20,FALSE)</f>
        <v>0</v>
      </c>
      <c r="AS17">
        <f>VLOOKUP($A17,Servings!$C:$Y,21,FALSE)</f>
        <v>0</v>
      </c>
      <c r="AT17">
        <f>VLOOKUP($A17,Servings!$C:$Y,22,FALSE)</f>
        <v>0</v>
      </c>
      <c r="AU17">
        <f>VLOOKUP($A17,Servings!$C:$Y,23,FALSE)</f>
        <v>0</v>
      </c>
    </row>
    <row r="18" spans="1:47" x14ac:dyDescent="0.25">
      <c r="A18" s="2" t="s">
        <v>148</v>
      </c>
      <c r="B18" s="2">
        <v>5</v>
      </c>
      <c r="C18" s="2" t="str">
        <f>IF(IFERROR(VLOOKUP(A18, Servings!C:G, 3, FALSE), "")=0, "", IFERROR(VLOOKUP(A18, Servings!C:G, 3, FALSE), ""))</f>
        <v>g</v>
      </c>
      <c r="D18" s="2" t="str">
        <f>IF(IFERROR(VLOOKUP(A18, Servings!C:G, 5, FALSE), "")=0, "", IFERROR(VLOOKUP(A18, Servings!C:G, 5, FALSE), ""))</f>
        <v>tsp</v>
      </c>
      <c r="E18" s="2" t="s">
        <v>28</v>
      </c>
      <c r="F18" s="19" t="s">
        <v>240</v>
      </c>
      <c r="G18" s="3">
        <f>IF(E18=AC18, B18/AB18, IF(E18=AA18, B18/Z18, "Condition not met"))</f>
        <v>1</v>
      </c>
      <c r="H18" s="4">
        <f>$G18*AD18</f>
        <v>0</v>
      </c>
      <c r="I18" s="4">
        <f t="shared" si="0"/>
        <v>0</v>
      </c>
      <c r="J18" s="4">
        <f t="shared" si="0"/>
        <v>0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0"/>
        <v>0</v>
      </c>
      <c r="U18" s="4">
        <f t="shared" si="0"/>
        <v>0</v>
      </c>
      <c r="V18" s="4">
        <f t="shared" si="0"/>
        <v>0</v>
      </c>
      <c r="W18" s="4">
        <f t="shared" si="0"/>
        <v>0</v>
      </c>
      <c r="X18" s="4">
        <f t="shared" si="1"/>
        <v>0</v>
      </c>
      <c r="Y18" s="4">
        <f t="shared" si="1"/>
        <v>0</v>
      </c>
      <c r="Z18" s="2">
        <f>VLOOKUP($A18,Servings!$C:$K,2,FALSE)</f>
        <v>5</v>
      </c>
      <c r="AA18" s="2" t="str">
        <f>VLOOKUP($A18,Servings!$C:$K,3,FALSE)</f>
        <v>g</v>
      </c>
      <c r="AB18" s="2">
        <f>VLOOKUP($A18,Servings!$C:$K,4,FALSE)</f>
        <v>1</v>
      </c>
      <c r="AC18" s="2" t="str">
        <f>VLOOKUP($A18,Servings!$C:$K,5,FALSE)</f>
        <v>tsp</v>
      </c>
      <c r="AD18" s="14">
        <f>VLOOKUP($A18,Servings!$C:$K,6,FALSE)</f>
        <v>0</v>
      </c>
      <c r="AE18" s="2">
        <f>VLOOKUP($A18,Servings!$C:$K,7,FALSE)</f>
        <v>0</v>
      </c>
      <c r="AF18" s="2">
        <f>VLOOKUP($A18,Servings!$C:$K,8,FALSE)</f>
        <v>0</v>
      </c>
      <c r="AG18" s="2">
        <f>VLOOKUP($A18,Servings!$C:$K,9,FALSE)</f>
        <v>0</v>
      </c>
      <c r="AH18">
        <f>VLOOKUP($A18,Servings!$C:$Y,10,FALSE)</f>
        <v>0</v>
      </c>
      <c r="AI18">
        <f>VLOOKUP($A18,Servings!$C:$Y,11,FALSE)</f>
        <v>0</v>
      </c>
      <c r="AJ18">
        <f>VLOOKUP($A18,Servings!$C:$Y,12,FALSE)</f>
        <v>0</v>
      </c>
      <c r="AK18">
        <f>VLOOKUP($A18,Servings!$C:$Y,13,FALSE)</f>
        <v>0</v>
      </c>
      <c r="AL18">
        <f>VLOOKUP($A18,Servings!$C:$Y,14,FALSE)</f>
        <v>0</v>
      </c>
      <c r="AM18">
        <f>VLOOKUP($A18,Servings!$C:$Y,15,FALSE)</f>
        <v>0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0</v>
      </c>
      <c r="AQ18">
        <f>VLOOKUP($A18,Servings!$C:$Y,19,FALSE)</f>
        <v>0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x14ac:dyDescent="0.25">
      <c r="A19" s="2" t="s">
        <v>25</v>
      </c>
      <c r="B19" s="2">
        <v>1</v>
      </c>
      <c r="C19" s="2" t="str">
        <f>IF(IFERROR(VLOOKUP(A19, Servings!C:G, 3, FALSE), "")=0, "", IFERROR(VLOOKUP(A19, Servings!C:G, 3, FALSE), ""))</f>
        <v>g</v>
      </c>
      <c r="D19" s="2" t="str">
        <f>IF(IFERROR(VLOOKUP(A19, Servings!C:G, 5, FALSE), "")=0, "", IFERROR(VLOOKUP(A19, Servings!C:G, 5, FALSE), ""))</f>
        <v>scoops</v>
      </c>
      <c r="E19" s="2" t="s">
        <v>32</v>
      </c>
      <c r="F19" s="19" t="s">
        <v>240</v>
      </c>
      <c r="G19" s="3">
        <f>IF(E19=AC19, B19/AB19, IF(E19=AA19, B19/Z19, "Condition not met"))</f>
        <v>0.5</v>
      </c>
      <c r="H19" s="4">
        <f>$G19*AD19</f>
        <v>640</v>
      </c>
      <c r="I19" s="4">
        <f t="shared" ref="I19:I20" si="2">$G19*AE19</f>
        <v>5</v>
      </c>
      <c r="J19" s="4">
        <f t="shared" ref="J19:J20" si="3">$G19*AF19</f>
        <v>126</v>
      </c>
      <c r="K19" s="4">
        <f t="shared" ref="K19:K20" si="4">$G19*AG19</f>
        <v>26</v>
      </c>
      <c r="L19" s="4">
        <f t="shared" ref="L19:L20" si="5">$G19*AH19</f>
        <v>0</v>
      </c>
      <c r="M19" s="4">
        <f t="shared" ref="M19:M20" si="6">$G19*AI19</f>
        <v>0</v>
      </c>
      <c r="N19" s="4">
        <f t="shared" ref="N19:N20" si="7">$G19*AJ19</f>
        <v>0</v>
      </c>
      <c r="O19" s="4">
        <f t="shared" ref="O19:O20" si="8">$G19*AK19</f>
        <v>0</v>
      </c>
      <c r="P19" s="4">
        <f t="shared" ref="P19:P20" si="9">$G19*AL19</f>
        <v>0</v>
      </c>
      <c r="Q19" s="4">
        <f t="shared" ref="Q19:Q20" si="10">$G19*AM19</f>
        <v>0</v>
      </c>
      <c r="R19" s="4">
        <f t="shared" ref="R19:R20" si="11">$G19*AN19</f>
        <v>1105</v>
      </c>
      <c r="S19" s="4">
        <f t="shared" ref="S19:S20" si="12">$G19*AO19</f>
        <v>1.5</v>
      </c>
      <c r="T19" s="4">
        <f t="shared" ref="T19:T20" si="13">$G19*AP19</f>
        <v>255</v>
      </c>
      <c r="U19" s="4">
        <f t="shared" ref="U19:U20" si="14">$G19*AQ19</f>
        <v>9.5</v>
      </c>
      <c r="V19" s="4">
        <f t="shared" ref="V19:V20" si="15">$G19*AR19</f>
        <v>0</v>
      </c>
      <c r="W19" s="4">
        <f t="shared" ref="W19:W20" si="16">$G19*AS19</f>
        <v>0</v>
      </c>
      <c r="X19" s="4">
        <f t="shared" ref="X19:X20" si="17">$G19*AT19</f>
        <v>0</v>
      </c>
      <c r="Y19" s="4">
        <f t="shared" ref="Y19:Y20" si="18">$G19*AU19</f>
        <v>0</v>
      </c>
      <c r="Z19" s="2">
        <f>VLOOKUP($A19,Servings!$C:$K,2,FALSE)</f>
        <v>334</v>
      </c>
      <c r="AA19" s="2" t="str">
        <f>VLOOKUP($A19,Servings!$C:$K,3,FALSE)</f>
        <v>g</v>
      </c>
      <c r="AB19" s="2">
        <f>VLOOKUP($A19,Servings!$C:$K,4,FALSE)</f>
        <v>2</v>
      </c>
      <c r="AC19" s="2" t="str">
        <f>VLOOKUP($A19,Servings!$C:$K,5,FALSE)</f>
        <v>scoops</v>
      </c>
      <c r="AD19" s="14">
        <f>VLOOKUP($A19,Servings!$C:$K,6,FALSE)</f>
        <v>1280</v>
      </c>
      <c r="AE19" s="2">
        <f>VLOOKUP($A19,Servings!$C:$K,7,FALSE)</f>
        <v>10</v>
      </c>
      <c r="AF19" s="2">
        <f>VLOOKUP($A19,Servings!$C:$K,8,FALSE)</f>
        <v>252</v>
      </c>
      <c r="AG19" s="2">
        <f>VLOOKUP($A19,Servings!$C:$K,9,FALSE)</f>
        <v>52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0</v>
      </c>
      <c r="AK19">
        <f>VLOOKUP($A19,Servings!$C:$Y,13,FALSE)</f>
        <v>0</v>
      </c>
      <c r="AL19">
        <f>VLOOKUP($A19,Servings!$C:$Y,14,FALSE)</f>
        <v>0</v>
      </c>
      <c r="AM19">
        <f>VLOOKUP($A19,Servings!$C:$Y,15,FALSE)</f>
        <v>0</v>
      </c>
      <c r="AN19">
        <f>VLOOKUP($A19,Servings!$C:$Y,16,FALSE)</f>
        <v>2210</v>
      </c>
      <c r="AO19">
        <f>VLOOKUP($A19,Servings!$C:$Y,17,FALSE)</f>
        <v>3</v>
      </c>
      <c r="AP19">
        <f>VLOOKUP($A19,Servings!$C:$Y,18,FALSE)</f>
        <v>510</v>
      </c>
      <c r="AQ19">
        <f>VLOOKUP($A19,Servings!$C:$Y,19,FALSE)</f>
        <v>19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x14ac:dyDescent="0.25">
      <c r="A20" s="2" t="s">
        <v>35</v>
      </c>
      <c r="B20" s="2">
        <v>250</v>
      </c>
      <c r="C20" s="2" t="str">
        <f>IF(IFERROR(VLOOKUP(A20, Servings!C:G, 3, FALSE), "")=0, "", IFERROR(VLOOKUP(A20, Servings!C:G, 3, FALSE), ""))</f>
        <v>g</v>
      </c>
      <c r="D20" s="2" t="str">
        <f>IF(IFERROR(VLOOKUP(A20, Servings!C:G, 5, FALSE), "")=0, "", IFERROR(VLOOKUP(A20, Servings!C:G, 5, FALSE), ""))</f>
        <v/>
      </c>
      <c r="E20" s="2" t="s">
        <v>28</v>
      </c>
      <c r="F20" s="19" t="s">
        <v>85</v>
      </c>
      <c r="G20" s="3">
        <f>IF(E20=AC20, B20/AB20, IF(E20=AA20, B20/Z20, "Condition not met"))</f>
        <v>1.3888888888888888</v>
      </c>
      <c r="H20" s="4">
        <f>$G20*AD20</f>
        <v>296.29629629629625</v>
      </c>
      <c r="I20" s="4">
        <f t="shared" si="2"/>
        <v>0</v>
      </c>
      <c r="J20" s="4">
        <f t="shared" si="3"/>
        <v>66.666666666666657</v>
      </c>
      <c r="K20" s="4">
        <f t="shared" si="4"/>
        <v>5.5555555555555554</v>
      </c>
      <c r="L20" s="4">
        <f t="shared" si="5"/>
        <v>0</v>
      </c>
      <c r="M20" s="4">
        <f t="shared" si="6"/>
        <v>3.7037037037037033</v>
      </c>
      <c r="N20" s="4">
        <f t="shared" si="7"/>
        <v>0</v>
      </c>
      <c r="O20" s="4">
        <f t="shared" si="8"/>
        <v>0</v>
      </c>
      <c r="P20" s="4">
        <f t="shared" si="9"/>
        <v>0</v>
      </c>
      <c r="Q20" s="4">
        <f t="shared" si="10"/>
        <v>0</v>
      </c>
      <c r="R20" s="4">
        <f t="shared" si="11"/>
        <v>0</v>
      </c>
      <c r="S20" s="4">
        <f t="shared" si="12"/>
        <v>0</v>
      </c>
      <c r="T20" s="4">
        <f t="shared" si="13"/>
        <v>0</v>
      </c>
      <c r="U20" s="4">
        <f t="shared" si="14"/>
        <v>0</v>
      </c>
      <c r="V20" s="4">
        <f t="shared" si="15"/>
        <v>0</v>
      </c>
      <c r="W20" s="4">
        <f t="shared" si="16"/>
        <v>0</v>
      </c>
      <c r="X20" s="4">
        <f t="shared" si="17"/>
        <v>0</v>
      </c>
      <c r="Y20" s="4">
        <f t="shared" si="18"/>
        <v>0</v>
      </c>
      <c r="Z20" s="2">
        <f>VLOOKUP($A20,Servings!$C:$K,2,FALSE)</f>
        <v>180</v>
      </c>
      <c r="AA20" s="2" t="str">
        <f>VLOOKUP($A20,Servings!$C:$K,3,FALSE)</f>
        <v>g</v>
      </c>
      <c r="AB20" s="2">
        <f>VLOOKUP($A20,Servings!$C:$K,4,FALSE)</f>
        <v>0</v>
      </c>
      <c r="AC20" s="2">
        <f>VLOOKUP($A20,Servings!$C:$K,5,FALSE)</f>
        <v>0</v>
      </c>
      <c r="AD20" s="14">
        <f>VLOOKUP($A20,Servings!$C:$K,6,FALSE)</f>
        <v>213.33333333333331</v>
      </c>
      <c r="AE20" s="2">
        <f>VLOOKUP($A20,Servings!$C:$K,7,FALSE)</f>
        <v>0</v>
      </c>
      <c r="AF20" s="2">
        <f>VLOOKUP($A20,Servings!$C:$K,8,FALSE)</f>
        <v>48</v>
      </c>
      <c r="AG20" s="2">
        <f>VLOOKUP($A20,Servings!$C:$K,9,FALSE)</f>
        <v>4</v>
      </c>
      <c r="AH20">
        <f>VLOOKUP($A20,Servings!$C:$Y,10,FALSE)</f>
        <v>0</v>
      </c>
      <c r="AI20">
        <f>VLOOKUP($A20,Servings!$C:$Y,11,FALSE)</f>
        <v>2.6666666666666665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0</v>
      </c>
      <c r="AO20">
        <f>VLOOKUP($A20,Servings!$C:$Y,17,FALSE)</f>
        <v>0</v>
      </c>
      <c r="AP20">
        <f>VLOOKUP($A20,Servings!$C:$Y,18,FALSE)</f>
        <v>0</v>
      </c>
      <c r="AQ20">
        <f>VLOOKUP($A20,Servings!$C:$Y,19,FALSE)</f>
        <v>0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x14ac:dyDescent="0.25">
      <c r="A21" s="2" t="s">
        <v>178</v>
      </c>
      <c r="B21" s="2">
        <v>4</v>
      </c>
      <c r="C21" s="2" t="str">
        <f>IF(IFERROR(VLOOKUP(A21, Servings!C:G, 3, FALSE), "")=0, "", IFERROR(VLOOKUP(A21, Servings!C:G, 3, FALSE), ""))</f>
        <v>g</v>
      </c>
      <c r="D21" s="2" t="str">
        <f>IF(IFERROR(VLOOKUP(A21, Servings!C:G, 5, FALSE), "")=0, "", IFERROR(VLOOKUP(A21, Servings!C:G, 5, FALSE), ""))</f>
        <v>egg</v>
      </c>
      <c r="E21" s="2" t="s">
        <v>179</v>
      </c>
      <c r="F21" s="19" t="s">
        <v>85</v>
      </c>
      <c r="G21" s="3">
        <f>IF(E21=AC21, B21/AB21, IF(E21=AA21, B21/Z21, "Condition not met"))</f>
        <v>4</v>
      </c>
      <c r="H21" s="4">
        <f>$G21*AD21</f>
        <v>280</v>
      </c>
      <c r="I21" s="4">
        <f t="shared" si="0"/>
        <v>18</v>
      </c>
      <c r="J21" s="4">
        <f t="shared" si="0"/>
        <v>0</v>
      </c>
      <c r="K21" s="4">
        <f t="shared" si="0"/>
        <v>28</v>
      </c>
      <c r="L21" s="4">
        <f t="shared" si="0"/>
        <v>0</v>
      </c>
      <c r="M21" s="4">
        <f t="shared" si="0"/>
        <v>120</v>
      </c>
      <c r="N21" s="4">
        <f t="shared" si="0"/>
        <v>0</v>
      </c>
      <c r="O21" s="4">
        <f t="shared" si="0"/>
        <v>4</v>
      </c>
      <c r="P21" s="4">
        <f t="shared" si="0"/>
        <v>8</v>
      </c>
      <c r="Q21" s="4">
        <f t="shared" si="0"/>
        <v>4</v>
      </c>
      <c r="R21" s="4">
        <f t="shared" si="0"/>
        <v>0</v>
      </c>
      <c r="S21" s="4">
        <f t="shared" si="0"/>
        <v>6</v>
      </c>
      <c r="T21" s="4">
        <f t="shared" si="0"/>
        <v>280</v>
      </c>
      <c r="U21" s="4">
        <f t="shared" si="0"/>
        <v>0</v>
      </c>
      <c r="V21" s="4">
        <f t="shared" si="0"/>
        <v>0</v>
      </c>
      <c r="W21" s="4">
        <f t="shared" si="0"/>
        <v>0</v>
      </c>
      <c r="X21" s="4">
        <f t="shared" si="1"/>
        <v>0</v>
      </c>
      <c r="Y21" s="4">
        <f t="shared" si="1"/>
        <v>28</v>
      </c>
      <c r="Z21" s="2">
        <f>VLOOKUP($A21,Servings!$C:$K,2,FALSE)</f>
        <v>56</v>
      </c>
      <c r="AA21" s="2" t="str">
        <f>VLOOKUP($A21,Servings!$C:$K,3,FALSE)</f>
        <v>g</v>
      </c>
      <c r="AB21" s="2">
        <f>VLOOKUP($A21,Servings!$C:$K,4,FALSE)</f>
        <v>1</v>
      </c>
      <c r="AC21" s="2" t="str">
        <f>VLOOKUP($A21,Servings!$C:$K,5,FALSE)</f>
        <v>egg</v>
      </c>
      <c r="AD21" s="14">
        <f>VLOOKUP($A21,Servings!$C:$K,6,FALSE)</f>
        <v>70</v>
      </c>
      <c r="AE21" s="2">
        <f>VLOOKUP($A21,Servings!$C:$K,7,FALSE)</f>
        <v>4.5</v>
      </c>
      <c r="AF21" s="2">
        <f>VLOOKUP($A21,Servings!$C:$K,8,FALSE)</f>
        <v>0</v>
      </c>
      <c r="AG21" s="2">
        <f>VLOOKUP($A21,Servings!$C:$K,9,FALSE)</f>
        <v>7</v>
      </c>
      <c r="AH21">
        <f>VLOOKUP($A21,Servings!$C:$Y,10,FALSE)</f>
        <v>0</v>
      </c>
      <c r="AI21">
        <f>VLOOKUP($A21,Servings!$C:$Y,11,FALSE)</f>
        <v>30</v>
      </c>
      <c r="AJ21">
        <f>VLOOKUP($A21,Servings!$C:$Y,12,FALSE)</f>
        <v>0</v>
      </c>
      <c r="AK21">
        <f>VLOOKUP($A21,Servings!$C:$Y,13,FALSE)</f>
        <v>1</v>
      </c>
      <c r="AL21">
        <f>VLOOKUP($A21,Servings!$C:$Y,14,FALSE)</f>
        <v>2</v>
      </c>
      <c r="AM21">
        <f>VLOOKUP($A21,Servings!$C:$Y,15,FALSE)</f>
        <v>1</v>
      </c>
      <c r="AN21">
        <f>VLOOKUP($A21,Servings!$C:$Y,16,FALSE)</f>
        <v>0</v>
      </c>
      <c r="AO21">
        <f>VLOOKUP($A21,Servings!$C:$Y,17,FALSE)</f>
        <v>1.5</v>
      </c>
      <c r="AP21">
        <f>VLOOKUP($A21,Servings!$C:$Y,18,FALSE)</f>
        <v>70</v>
      </c>
      <c r="AQ21">
        <f>VLOOKUP($A21,Servings!$C:$Y,19,FALSE)</f>
        <v>0</v>
      </c>
      <c r="AR21">
        <f>VLOOKUP($A21,Servings!$C:$Y,20,FALSE)</f>
        <v>0</v>
      </c>
      <c r="AS21">
        <f>VLOOKUP($A21,Servings!$C:$Y,21,FALSE)</f>
        <v>0</v>
      </c>
      <c r="AT21">
        <f>VLOOKUP($A21,Servings!$C:$Y,22,FALSE)</f>
        <v>0</v>
      </c>
      <c r="AU21">
        <f>VLOOKUP($A21,Servings!$C:$Y,23,FALSE)</f>
        <v>7</v>
      </c>
    </row>
    <row r="22" spans="1:47" x14ac:dyDescent="0.25">
      <c r="A22" s="2" t="s">
        <v>189</v>
      </c>
      <c r="B22" s="2">
        <v>2</v>
      </c>
      <c r="C22" s="2" t="str">
        <f>IF(IFERROR(VLOOKUP(A22, Servings!C:G, 3, FALSE), "")=0, "", IFERROR(VLOOKUP(A22, Servings!C:G, 3, FALSE), ""))</f>
        <v>g</v>
      </c>
      <c r="D22" s="2" t="str">
        <f>IF(IFERROR(VLOOKUP(A22, Servings!C:G, 5, FALSE), "")=0, "", IFERROR(VLOOKUP(A22, Servings!C:G, 5, FALSE), ""))</f>
        <v>slice</v>
      </c>
      <c r="E22" s="2" t="s">
        <v>104</v>
      </c>
      <c r="F22" s="19" t="s">
        <v>85</v>
      </c>
      <c r="G22" s="3">
        <f>IF(E22=AC22, B22/AB22, IF(E22=AA22, B22/Z22, "Condition not met"))</f>
        <v>2</v>
      </c>
      <c r="H22" s="4">
        <f>$G22*AD22</f>
        <v>140</v>
      </c>
      <c r="I22" s="4">
        <f t="shared" si="0"/>
        <v>1</v>
      </c>
      <c r="J22" s="4">
        <f t="shared" si="0"/>
        <v>26</v>
      </c>
      <c r="K22" s="4">
        <f t="shared" si="0"/>
        <v>6</v>
      </c>
      <c r="L22" s="4">
        <f t="shared" si="0"/>
        <v>4</v>
      </c>
      <c r="M22" s="4">
        <f t="shared" si="0"/>
        <v>100</v>
      </c>
      <c r="N22" s="4">
        <f t="shared" si="0"/>
        <v>2</v>
      </c>
      <c r="O22" s="4">
        <f t="shared" si="0"/>
        <v>2</v>
      </c>
      <c r="P22" s="4">
        <f t="shared" si="0"/>
        <v>0</v>
      </c>
      <c r="Q22" s="4">
        <f t="shared" si="0"/>
        <v>0</v>
      </c>
      <c r="R22" s="4">
        <f t="shared" si="0"/>
        <v>120</v>
      </c>
      <c r="S22" s="4">
        <f t="shared" si="0"/>
        <v>0</v>
      </c>
      <c r="T22" s="4">
        <f t="shared" si="0"/>
        <v>250</v>
      </c>
      <c r="U22" s="4">
        <f t="shared" si="0"/>
        <v>4</v>
      </c>
      <c r="V22" s="4">
        <f t="shared" si="0"/>
        <v>0</v>
      </c>
      <c r="W22" s="4">
        <f t="shared" si="0"/>
        <v>0</v>
      </c>
      <c r="X22" s="4">
        <f t="shared" si="1"/>
        <v>0</v>
      </c>
      <c r="Y22" s="4">
        <f t="shared" si="1"/>
        <v>0</v>
      </c>
      <c r="Z22" s="2">
        <f>VLOOKUP($A22,Servings!$C:$K,2,FALSE)</f>
        <v>31</v>
      </c>
      <c r="AA22" s="2" t="str">
        <f>VLOOKUP($A22,Servings!$C:$K,3,FALSE)</f>
        <v>g</v>
      </c>
      <c r="AB22" s="2">
        <f>VLOOKUP($A22,Servings!$C:$K,4,FALSE)</f>
        <v>1</v>
      </c>
      <c r="AC22" s="2" t="str">
        <f>VLOOKUP($A22,Servings!$C:$K,5,FALSE)</f>
        <v>slice</v>
      </c>
      <c r="AD22" s="14">
        <f>VLOOKUP($A22,Servings!$C:$K,6,FALSE)</f>
        <v>70</v>
      </c>
      <c r="AE22" s="2">
        <f>VLOOKUP($A22,Servings!$C:$K,7,FALSE)</f>
        <v>0.5</v>
      </c>
      <c r="AF22" s="2">
        <f>VLOOKUP($A22,Servings!$C:$K,8,FALSE)</f>
        <v>13</v>
      </c>
      <c r="AG22" s="2">
        <f>VLOOKUP($A22,Servings!$C:$K,9,FALSE)</f>
        <v>3</v>
      </c>
      <c r="AH22">
        <f>VLOOKUP($A22,Servings!$C:$Y,10,FALSE)</f>
        <v>2</v>
      </c>
      <c r="AI22">
        <f>VLOOKUP($A22,Servings!$C:$Y,11,FALSE)</f>
        <v>50</v>
      </c>
      <c r="AJ22">
        <f>VLOOKUP($A22,Servings!$C:$Y,12,FALSE)</f>
        <v>1</v>
      </c>
      <c r="AK22">
        <f>VLOOKUP($A22,Servings!$C:$Y,13,FALSE)</f>
        <v>1</v>
      </c>
      <c r="AL22">
        <f>VLOOKUP($A22,Servings!$C:$Y,14,FALSE)</f>
        <v>0</v>
      </c>
      <c r="AM22">
        <f>VLOOKUP($A22,Servings!$C:$Y,15,FALSE)</f>
        <v>0</v>
      </c>
      <c r="AN22">
        <f>VLOOKUP($A22,Servings!$C:$Y,16,FALSE)</f>
        <v>60</v>
      </c>
      <c r="AO22">
        <f>VLOOKUP($A22,Servings!$C:$Y,17,FALSE)</f>
        <v>0</v>
      </c>
      <c r="AP22">
        <f>VLOOKUP($A22,Servings!$C:$Y,18,FALSE)</f>
        <v>125</v>
      </c>
      <c r="AQ22">
        <f>VLOOKUP($A22,Servings!$C:$Y,19,FALSE)</f>
        <v>2</v>
      </c>
      <c r="AR22">
        <f>VLOOKUP($A22,Servings!$C:$Y,20,FALSE)</f>
        <v>0</v>
      </c>
      <c r="AS22">
        <f>VLOOKUP($A22,Servings!$C:$Y,21,FALSE)</f>
        <v>0</v>
      </c>
      <c r="AT22">
        <f>VLOOKUP($A22,Servings!$C:$Y,22,FALSE)</f>
        <v>0</v>
      </c>
      <c r="AU22">
        <f>VLOOKUP($A22,Servings!$C:$Y,23,FALSE)</f>
        <v>0</v>
      </c>
    </row>
    <row r="23" spans="1:47" x14ac:dyDescent="0.25">
      <c r="A23" s="2" t="s">
        <v>192</v>
      </c>
      <c r="B23" s="2">
        <v>38</v>
      </c>
      <c r="C23" s="2" t="str">
        <f>IF(IFERROR(VLOOKUP(A23, Servings!C:G, 3, FALSE), "")=0, "", IFERROR(VLOOKUP(A23, Servings!C:G, 3, FALSE), ""))</f>
        <v>g</v>
      </c>
      <c r="D23" s="2" t="str">
        <f>IF(IFERROR(VLOOKUP(A23, Servings!C:G, 5, FALSE), "")=0, "", IFERROR(VLOOKUP(A23, Servings!C:G, 5, FALSE), ""))</f>
        <v/>
      </c>
      <c r="E23" s="2" t="s">
        <v>28</v>
      </c>
      <c r="F23" s="19" t="s">
        <v>85</v>
      </c>
      <c r="G23" s="3">
        <f>IF(E23=AC23, B23/AB23, IF(E23=AA23, B23/Z23, "Condition not met"))</f>
        <v>0.76</v>
      </c>
      <c r="H23" s="4">
        <f>$G23*AD23</f>
        <v>182.4</v>
      </c>
      <c r="I23" s="4">
        <f t="shared" si="0"/>
        <v>16.72</v>
      </c>
      <c r="J23" s="4">
        <f t="shared" si="0"/>
        <v>9.7280000000000015</v>
      </c>
      <c r="K23" s="4">
        <f t="shared" si="0"/>
        <v>2.2800000000000002</v>
      </c>
      <c r="L23" s="4">
        <f t="shared" si="0"/>
        <v>0</v>
      </c>
      <c r="M23" s="4">
        <f t="shared" si="0"/>
        <v>0</v>
      </c>
      <c r="N23" s="4">
        <f t="shared" si="0"/>
        <v>0</v>
      </c>
      <c r="O23" s="4">
        <f t="shared" si="0"/>
        <v>0</v>
      </c>
      <c r="P23" s="4">
        <f t="shared" si="0"/>
        <v>0</v>
      </c>
      <c r="Q23" s="4">
        <f t="shared" si="0"/>
        <v>0</v>
      </c>
      <c r="R23" s="4">
        <f t="shared" si="0"/>
        <v>0</v>
      </c>
      <c r="S23" s="4">
        <f t="shared" si="0"/>
        <v>0</v>
      </c>
      <c r="T23" s="4">
        <f t="shared" si="0"/>
        <v>0</v>
      </c>
      <c r="U23" s="4">
        <f t="shared" si="0"/>
        <v>0</v>
      </c>
      <c r="V23" s="4">
        <f t="shared" si="0"/>
        <v>0</v>
      </c>
      <c r="W23" s="4">
        <f t="shared" si="0"/>
        <v>0</v>
      </c>
      <c r="X23" s="4">
        <f t="shared" si="1"/>
        <v>0</v>
      </c>
      <c r="Y23" s="4">
        <f t="shared" si="1"/>
        <v>0</v>
      </c>
      <c r="Z23" s="2">
        <f>VLOOKUP($A23,Servings!$C:$K,2,FALSE)</f>
        <v>50</v>
      </c>
      <c r="AA23" s="2" t="str">
        <f>VLOOKUP($A23,Servings!$C:$K,3,FALSE)</f>
        <v>g</v>
      </c>
      <c r="AB23" s="2">
        <f>VLOOKUP($A23,Servings!$C:$K,4,FALSE)</f>
        <v>0</v>
      </c>
      <c r="AC23" s="2">
        <f>VLOOKUP($A23,Servings!$C:$K,5,FALSE)</f>
        <v>0</v>
      </c>
      <c r="AD23" s="14">
        <f>VLOOKUP($A23,Servings!$C:$K,6,FALSE)</f>
        <v>240</v>
      </c>
      <c r="AE23" s="2">
        <f>VLOOKUP($A23,Servings!$C:$K,7,FALSE)</f>
        <v>22</v>
      </c>
      <c r="AF23" s="2">
        <f>VLOOKUP($A23,Servings!$C:$K,8,FALSE)</f>
        <v>12.8</v>
      </c>
      <c r="AG23" s="2">
        <f>VLOOKUP($A23,Servings!$C:$K,9,FALSE)</f>
        <v>3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0</v>
      </c>
      <c r="AM23">
        <f>VLOOKUP($A23,Servings!$C:$Y,15,FALSE)</f>
        <v>0</v>
      </c>
      <c r="AN23">
        <f>VLOOKUP($A23,Servings!$C:$Y,16,FALSE)</f>
        <v>0</v>
      </c>
      <c r="AO23">
        <f>VLOOKUP($A23,Servings!$C:$Y,17,FALSE)</f>
        <v>0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x14ac:dyDescent="0.25">
      <c r="A24" s="2" t="s">
        <v>138</v>
      </c>
      <c r="B24" s="2">
        <v>46</v>
      </c>
      <c r="C24" s="2" t="str">
        <f>IF(IFERROR(VLOOKUP(A24, Servings!C:G, 3, FALSE), "")=0, "", IFERROR(VLOOKUP(A24, Servings!C:G, 3, FALSE), ""))</f>
        <v>g</v>
      </c>
      <c r="D24" s="2" t="str">
        <f>IF(IFERROR(VLOOKUP(A24, Servings!C:G, 5, FALSE), "")=0, "", IFERROR(VLOOKUP(A24, Servings!C:G, 5, FALSE), ""))</f>
        <v>oz</v>
      </c>
      <c r="E24" s="2" t="s">
        <v>28</v>
      </c>
      <c r="F24" s="19" t="s">
        <v>85</v>
      </c>
      <c r="G24" s="3">
        <f>IF(E24=AC24, B24/AB24, IF(E24=AA24, B24/Z24, "Condition not met"))</f>
        <v>0.54117647058823526</v>
      </c>
      <c r="H24" s="4">
        <f>$G24*AD24</f>
        <v>16.235294117647058</v>
      </c>
      <c r="I24" s="4">
        <f t="shared" si="0"/>
        <v>0</v>
      </c>
      <c r="J24" s="4">
        <f t="shared" si="0"/>
        <v>3.7882352941176469</v>
      </c>
      <c r="K24" s="4">
        <f t="shared" si="0"/>
        <v>0.54117647058823526</v>
      </c>
      <c r="L24" s="4">
        <f t="shared" si="0"/>
        <v>0</v>
      </c>
      <c r="M24" s="4">
        <f t="shared" si="0"/>
        <v>10.823529411764705</v>
      </c>
      <c r="N24" s="4">
        <f t="shared" si="0"/>
        <v>1.0823529411764705</v>
      </c>
      <c r="O24" s="4">
        <f t="shared" si="0"/>
        <v>0.21647058823529411</v>
      </c>
      <c r="P24" s="4">
        <f t="shared" si="0"/>
        <v>0</v>
      </c>
      <c r="Q24" s="4">
        <f t="shared" si="0"/>
        <v>0</v>
      </c>
      <c r="R24" s="4">
        <f t="shared" si="0"/>
        <v>146.11764705882351</v>
      </c>
      <c r="S24" s="4">
        <f t="shared" si="0"/>
        <v>0</v>
      </c>
      <c r="T24" s="4">
        <f t="shared" si="0"/>
        <v>35.17647058823529</v>
      </c>
      <c r="U24" s="4">
        <f t="shared" si="0"/>
        <v>2.7058823529411762</v>
      </c>
      <c r="V24" s="4">
        <f t="shared" si="0"/>
        <v>0</v>
      </c>
      <c r="W24" s="4">
        <f t="shared" si="0"/>
        <v>162.35294117647058</v>
      </c>
      <c r="X24" s="4">
        <f t="shared" si="1"/>
        <v>3.7882352941176469</v>
      </c>
      <c r="Y24" s="4">
        <f t="shared" si="1"/>
        <v>0</v>
      </c>
      <c r="Z24" s="2">
        <f>VLOOKUP($A24,Servings!$C:$K,2,FALSE)</f>
        <v>85</v>
      </c>
      <c r="AA24" s="2" t="str">
        <f>VLOOKUP($A24,Servings!$C:$K,3,FALSE)</f>
        <v>g</v>
      </c>
      <c r="AB24" s="2">
        <f>VLOOKUP($A24,Servings!$C:$K,4,FALSE)</f>
        <v>3</v>
      </c>
      <c r="AC24" s="2" t="str">
        <f>VLOOKUP($A24,Servings!$C:$K,5,FALSE)</f>
        <v>oz</v>
      </c>
      <c r="AD24" s="14">
        <f>VLOOKUP($A24,Servings!$C:$K,6,FALSE)</f>
        <v>30</v>
      </c>
      <c r="AE24" s="2">
        <f>VLOOKUP($A24,Servings!$C:$K,7,FALSE)</f>
        <v>0</v>
      </c>
      <c r="AF24" s="2">
        <f>VLOOKUP($A24,Servings!$C:$K,8,FALSE)</f>
        <v>7</v>
      </c>
      <c r="AG24" s="2">
        <f>VLOOKUP($A24,Servings!$C:$K,9,FALSE)</f>
        <v>1</v>
      </c>
      <c r="AH24">
        <f>VLOOKUP($A24,Servings!$C:$Y,10,FALSE)</f>
        <v>0</v>
      </c>
      <c r="AI24">
        <f>VLOOKUP($A24,Servings!$C:$Y,11,FALSE)</f>
        <v>20</v>
      </c>
      <c r="AJ24">
        <f>VLOOKUP($A24,Servings!$C:$Y,12,FALSE)</f>
        <v>2</v>
      </c>
      <c r="AK24">
        <f>VLOOKUP($A24,Servings!$C:$Y,13,FALSE)</f>
        <v>0.4</v>
      </c>
      <c r="AL24">
        <f>VLOOKUP($A24,Servings!$C:$Y,14,FALSE)</f>
        <v>0</v>
      </c>
      <c r="AM24">
        <f>VLOOKUP($A24,Servings!$C:$Y,15,FALSE)</f>
        <v>0</v>
      </c>
      <c r="AN24">
        <f>VLOOKUP($A24,Servings!$C:$Y,16,FALSE)</f>
        <v>270</v>
      </c>
      <c r="AO24">
        <f>VLOOKUP($A24,Servings!$C:$Y,17,FALSE)</f>
        <v>0</v>
      </c>
      <c r="AP24">
        <f>VLOOKUP($A24,Servings!$C:$Y,18,FALSE)</f>
        <v>65</v>
      </c>
      <c r="AQ24">
        <f>VLOOKUP($A24,Servings!$C:$Y,19,FALSE)</f>
        <v>5</v>
      </c>
      <c r="AR24">
        <f>VLOOKUP($A24,Servings!$C:$Y,20,FALSE)</f>
        <v>0</v>
      </c>
      <c r="AS24">
        <f>VLOOKUP($A24,Servings!$C:$Y,21,FALSE)</f>
        <v>300</v>
      </c>
      <c r="AT24">
        <f>VLOOKUP($A24,Servings!$C:$Y,22,FALSE)</f>
        <v>7</v>
      </c>
      <c r="AU24">
        <f>VLOOKUP($A24,Servings!$C:$Y,23,FALSE)</f>
        <v>0</v>
      </c>
    </row>
    <row r="25" spans="1:47" x14ac:dyDescent="0.25">
      <c r="A25" s="2" t="s">
        <v>41</v>
      </c>
      <c r="B25" s="2">
        <v>240</v>
      </c>
      <c r="C25" s="2" t="str">
        <f>IF(IFERROR(VLOOKUP(A25, Servings!C:G, 3, FALSE), "")=0, "", IFERROR(VLOOKUP(A25, Servings!C:G, 3, FALSE), ""))</f>
        <v>ml</v>
      </c>
      <c r="D25" s="2" t="str">
        <f>IF(IFERROR(VLOOKUP(A25, Servings!C:G, 5, FALSE), "")=0, "", IFERROR(VLOOKUP(A25, Servings!C:G, 5, FALSE), ""))</f>
        <v>cup</v>
      </c>
      <c r="E25" s="2" t="s">
        <v>42</v>
      </c>
      <c r="F25" s="19" t="s">
        <v>241</v>
      </c>
      <c r="G25" s="3">
        <f>IF(E25=AC25, B25/AB25, IF(E25=AA25, B25/Z25, "Condition not met"))</f>
        <v>1</v>
      </c>
      <c r="H25" s="4">
        <f>$G25*AD25</f>
        <v>90</v>
      </c>
      <c r="I25" s="4">
        <f t="shared" si="0"/>
        <v>0</v>
      </c>
      <c r="J25" s="4">
        <f t="shared" si="0"/>
        <v>13</v>
      </c>
      <c r="K25" s="4">
        <f t="shared" si="0"/>
        <v>8</v>
      </c>
      <c r="L25" s="4">
        <f t="shared" si="0"/>
        <v>0</v>
      </c>
      <c r="M25" s="4">
        <f t="shared" si="0"/>
        <v>310</v>
      </c>
      <c r="N25" s="4">
        <f t="shared" si="0"/>
        <v>0</v>
      </c>
      <c r="O25" s="4">
        <f t="shared" si="0"/>
        <v>0.1</v>
      </c>
      <c r="P25" s="4">
        <f t="shared" si="0"/>
        <v>0</v>
      </c>
      <c r="Q25" s="4">
        <f t="shared" si="0"/>
        <v>0</v>
      </c>
      <c r="R25" s="4">
        <f t="shared" si="0"/>
        <v>420</v>
      </c>
      <c r="S25" s="4">
        <f t="shared" si="0"/>
        <v>0</v>
      </c>
      <c r="T25" s="4">
        <f t="shared" si="0"/>
        <v>125</v>
      </c>
      <c r="U25" s="4">
        <f t="shared" si="0"/>
        <v>12</v>
      </c>
      <c r="V25" s="4">
        <f t="shared" si="0"/>
        <v>0</v>
      </c>
      <c r="W25" s="4">
        <f t="shared" si="0"/>
        <v>150</v>
      </c>
      <c r="X25" s="4">
        <f t="shared" si="1"/>
        <v>0</v>
      </c>
      <c r="Y25" s="4">
        <f t="shared" si="1"/>
        <v>3</v>
      </c>
      <c r="Z25" s="2">
        <f>VLOOKUP($A25,Servings!$C:$K,2,FALSE)</f>
        <v>240</v>
      </c>
      <c r="AA25" s="2" t="str">
        <f>VLOOKUP($A25,Servings!$C:$K,3,FALSE)</f>
        <v>ml</v>
      </c>
      <c r="AB25" s="2">
        <f>VLOOKUP($A25,Servings!$C:$K,4,FALSE)</f>
        <v>1</v>
      </c>
      <c r="AC25" s="2" t="str">
        <f>VLOOKUP($A25,Servings!$C:$K,5,FALSE)</f>
        <v>cup</v>
      </c>
      <c r="AD25" s="14">
        <f>VLOOKUP($A25,Servings!$C:$K,6,FALSE)</f>
        <v>90</v>
      </c>
      <c r="AE25" s="2">
        <f>VLOOKUP($A25,Servings!$C:$K,7,FALSE)</f>
        <v>0</v>
      </c>
      <c r="AF25" s="2">
        <f>VLOOKUP($A25,Servings!$C:$K,8,FALSE)</f>
        <v>13</v>
      </c>
      <c r="AG25" s="2">
        <f>VLOOKUP($A25,Servings!$C:$K,9,FALSE)</f>
        <v>8</v>
      </c>
      <c r="AH25">
        <f>VLOOKUP($A25,Servings!$C:$Y,10,FALSE)</f>
        <v>0</v>
      </c>
      <c r="AI25">
        <f>VLOOKUP($A25,Servings!$C:$Y,11,FALSE)</f>
        <v>310</v>
      </c>
      <c r="AJ25">
        <f>VLOOKUP($A25,Servings!$C:$Y,12,FALSE)</f>
        <v>0</v>
      </c>
      <c r="AK25">
        <f>VLOOKUP($A25,Servings!$C:$Y,13,FALSE)</f>
        <v>0.1</v>
      </c>
      <c r="AL25">
        <f>VLOOKUP($A25,Servings!$C:$Y,14,FALSE)</f>
        <v>0</v>
      </c>
      <c r="AM25">
        <f>VLOOKUP($A25,Servings!$C:$Y,15,FALSE)</f>
        <v>0</v>
      </c>
      <c r="AN25">
        <f>VLOOKUP($A25,Servings!$C:$Y,16,FALSE)</f>
        <v>420</v>
      </c>
      <c r="AO25">
        <f>VLOOKUP($A25,Servings!$C:$Y,17,FALSE)</f>
        <v>0</v>
      </c>
      <c r="AP25">
        <f>VLOOKUP($A25,Servings!$C:$Y,18,FALSE)</f>
        <v>125</v>
      </c>
      <c r="AQ25">
        <f>VLOOKUP($A25,Servings!$C:$Y,19,FALSE)</f>
        <v>12</v>
      </c>
      <c r="AR25">
        <f>VLOOKUP($A25,Servings!$C:$Y,20,FALSE)</f>
        <v>0</v>
      </c>
      <c r="AS25">
        <f>VLOOKUP($A25,Servings!$C:$Y,21,FALSE)</f>
        <v>150</v>
      </c>
      <c r="AT25">
        <f>VLOOKUP($A25,Servings!$C:$Y,22,FALSE)</f>
        <v>0</v>
      </c>
      <c r="AU25">
        <f>VLOOKUP($A25,Servings!$C:$Y,23,FALSE)</f>
        <v>3</v>
      </c>
    </row>
    <row r="26" spans="1:47" x14ac:dyDescent="0.25">
      <c r="A26" s="2" t="s">
        <v>38</v>
      </c>
      <c r="B26" s="2">
        <v>152</v>
      </c>
      <c r="C26" s="2" t="str">
        <f>IF(IFERROR(VLOOKUP(A26, Servings!C:G, 3, FALSE), "")=0, "", IFERROR(VLOOKUP(A26, Servings!C:G, 3, FALSE), ""))</f>
        <v>g</v>
      </c>
      <c r="D26" s="2" t="str">
        <f>IF(IFERROR(VLOOKUP(A26, Servings!C:G, 5, FALSE), "")=0, "", IFERROR(VLOOKUP(A26, Servings!C:G, 5, FALSE), ""))</f>
        <v>cup</v>
      </c>
      <c r="E26" s="2" t="s">
        <v>28</v>
      </c>
      <c r="F26" s="19" t="s">
        <v>241</v>
      </c>
      <c r="G26" s="3">
        <f>IF(E26=AC26, B26/AB26, IF(E26=AA26, B26/Z26, "Condition not met"))</f>
        <v>1.0857142857142856</v>
      </c>
      <c r="H26" s="4">
        <f>$G26*AD26</f>
        <v>86.857142857142847</v>
      </c>
      <c r="I26" s="4">
        <f t="shared" si="0"/>
        <v>0</v>
      </c>
      <c r="J26" s="4">
        <f t="shared" si="0"/>
        <v>19.542857142857141</v>
      </c>
      <c r="K26" s="4">
        <f t="shared" si="0"/>
        <v>1.0857142857142856</v>
      </c>
      <c r="L26" s="4">
        <f t="shared" si="0"/>
        <v>0</v>
      </c>
      <c r="M26" s="4">
        <f t="shared" si="0"/>
        <v>0</v>
      </c>
      <c r="N26" s="4">
        <f t="shared" si="0"/>
        <v>2.1714285714285713</v>
      </c>
      <c r="O26" s="4">
        <f t="shared" si="0"/>
        <v>0.43428571428571427</v>
      </c>
      <c r="P26" s="4">
        <f t="shared" si="0"/>
        <v>0</v>
      </c>
      <c r="Q26" s="4">
        <f t="shared" si="0"/>
        <v>0</v>
      </c>
      <c r="R26" s="4">
        <f t="shared" si="0"/>
        <v>162.85714285714283</v>
      </c>
      <c r="S26" s="4">
        <f t="shared" si="0"/>
        <v>0</v>
      </c>
      <c r="T26" s="4">
        <f t="shared" si="0"/>
        <v>0</v>
      </c>
      <c r="U26" s="4">
        <f t="shared" si="0"/>
        <v>15.2</v>
      </c>
      <c r="V26" s="4">
        <f t="shared" si="0"/>
        <v>0</v>
      </c>
      <c r="W26" s="4">
        <f t="shared" si="0"/>
        <v>0</v>
      </c>
      <c r="X26" s="4">
        <f t="shared" si="1"/>
        <v>0</v>
      </c>
      <c r="Y26" s="4">
        <f t="shared" si="1"/>
        <v>0</v>
      </c>
      <c r="Z26" s="2">
        <f>VLOOKUP($A26,Servings!$C:$K,2,FALSE)</f>
        <v>140</v>
      </c>
      <c r="AA26" s="2" t="str">
        <f>VLOOKUP($A26,Servings!$C:$K,3,FALSE)</f>
        <v>g</v>
      </c>
      <c r="AB26" s="2">
        <f>VLOOKUP($A26,Servings!$C:$K,4,FALSE)</f>
        <v>1</v>
      </c>
      <c r="AC26" s="2" t="str">
        <f>VLOOKUP($A26,Servings!$C:$K,5,FALSE)</f>
        <v>cup</v>
      </c>
      <c r="AD26" s="14">
        <f>VLOOKUP($A26,Servings!$C:$K,6,FALSE)</f>
        <v>80</v>
      </c>
      <c r="AE26" s="2">
        <f>VLOOKUP($A26,Servings!$C:$K,7,FALSE)</f>
        <v>0</v>
      </c>
      <c r="AF26" s="2">
        <f>VLOOKUP($A26,Servings!$C:$K,8,FALSE)</f>
        <v>18</v>
      </c>
      <c r="AG26" s="2">
        <f>VLOOKUP($A26,Servings!$C:$K,9,FALSE)</f>
        <v>1</v>
      </c>
      <c r="AH26">
        <f>VLOOKUP($A26,Servings!$C:$Y,10,FALSE)</f>
        <v>0</v>
      </c>
      <c r="AI26">
        <f>VLOOKUP($A26,Servings!$C:$Y,11,FALSE)</f>
        <v>0</v>
      </c>
      <c r="AJ26">
        <f>VLOOKUP($A26,Servings!$C:$Y,12,FALSE)</f>
        <v>2</v>
      </c>
      <c r="AK26">
        <f>VLOOKUP($A26,Servings!$C:$Y,13,FALSE)</f>
        <v>0.4</v>
      </c>
      <c r="AL26">
        <f>VLOOKUP($A26,Servings!$C:$Y,14,FALSE)</f>
        <v>0</v>
      </c>
      <c r="AM26">
        <f>VLOOKUP($A26,Servings!$C:$Y,15,FALSE)</f>
        <v>0</v>
      </c>
      <c r="AN26">
        <f>VLOOKUP($A26,Servings!$C:$Y,16,FALSE)</f>
        <v>150</v>
      </c>
      <c r="AO26">
        <f>VLOOKUP($A26,Servings!$C:$Y,17,FALSE)</f>
        <v>0</v>
      </c>
      <c r="AP26">
        <f>VLOOKUP($A26,Servings!$C:$Y,18,FALSE)</f>
        <v>0</v>
      </c>
      <c r="AQ26">
        <f>VLOOKUP($A26,Servings!$C:$Y,19,FALSE)</f>
        <v>14</v>
      </c>
      <c r="AR26">
        <f>VLOOKUP($A26,Servings!$C:$Y,20,FALSE)</f>
        <v>0</v>
      </c>
      <c r="AS26">
        <f>VLOOKUP($A26,Servings!$C:$Y,21,FALSE)</f>
        <v>0</v>
      </c>
      <c r="AT26">
        <f>VLOOKUP($A26,Servings!$C:$Y,22,FALSE)</f>
        <v>0</v>
      </c>
      <c r="AU26">
        <f>VLOOKUP($A26,Servings!$C:$Y,23,FALSE)</f>
        <v>0</v>
      </c>
    </row>
    <row r="27" spans="1:47" x14ac:dyDescent="0.25">
      <c r="A27" s="2" t="s">
        <v>142</v>
      </c>
      <c r="B27" s="2">
        <v>320</v>
      </c>
      <c r="C27" s="2" t="str">
        <f>IF(IFERROR(VLOOKUP(A27, Servings!C:G, 3, FALSE), "")=0, "", IFERROR(VLOOKUP(A27, Servings!C:G, 3, FALSE), ""))</f>
        <v>g</v>
      </c>
      <c r="D27" s="2" t="str">
        <f>IF(IFERROR(VLOOKUP(A27, Servings!C:G, 5, FALSE), "")=0, "", IFERROR(VLOOKUP(A27, Servings!C:G, 5, FALSE), ""))</f>
        <v/>
      </c>
      <c r="E27" s="2" t="s">
        <v>28</v>
      </c>
      <c r="F27" s="19" t="s">
        <v>242</v>
      </c>
      <c r="G27" s="3">
        <f>IF(E27=AC27, B27/AB27, IF(E27=AA27, B27/Z27, "Condition not met"))</f>
        <v>0.91428571428571426</v>
      </c>
      <c r="H27" s="4">
        <f>$G27*AD27</f>
        <v>457.14285714285711</v>
      </c>
      <c r="I27" s="4">
        <f>$G27*AE27</f>
        <v>11.885714285714286</v>
      </c>
      <c r="J27" s="4">
        <f>$G27*AF27</f>
        <v>28.342857142857142</v>
      </c>
      <c r="K27" s="4">
        <f>$G27*AG27</f>
        <v>57.6</v>
      </c>
      <c r="L27" s="4">
        <f>$G27*AH27</f>
        <v>0</v>
      </c>
      <c r="M27" s="4">
        <f>$G27*AI27</f>
        <v>0</v>
      </c>
      <c r="N27" s="4">
        <f>$G27*AJ27</f>
        <v>0</v>
      </c>
      <c r="O27" s="4">
        <f>$G27*AK27</f>
        <v>0</v>
      </c>
      <c r="P27" s="4">
        <f>$G27*AL27</f>
        <v>0</v>
      </c>
      <c r="Q27" s="4">
        <f>$G27*AM27</f>
        <v>0</v>
      </c>
      <c r="R27" s="4">
        <f>$G27*AN27</f>
        <v>0</v>
      </c>
      <c r="S27" s="4">
        <f>$G27*AO27</f>
        <v>0</v>
      </c>
      <c r="T27" s="4">
        <f>$G27*AP27</f>
        <v>0</v>
      </c>
      <c r="U27" s="4">
        <f>$G27*AQ27</f>
        <v>0</v>
      </c>
      <c r="V27" s="4">
        <f>$G27*AR27</f>
        <v>0</v>
      </c>
      <c r="W27" s="4">
        <f>$G27*AS27</f>
        <v>0</v>
      </c>
      <c r="X27" s="4">
        <f>$G27*AT27</f>
        <v>0</v>
      </c>
      <c r="Y27" s="4">
        <f>$G27*AU27</f>
        <v>0</v>
      </c>
      <c r="Z27" s="2">
        <f>VLOOKUP($A27,Servings!$C:$K,2,FALSE)</f>
        <v>350</v>
      </c>
      <c r="AA27" s="2" t="str">
        <f>VLOOKUP($A27,Servings!$C:$K,3,FALSE)</f>
        <v>g</v>
      </c>
      <c r="AB27" s="2">
        <f>VLOOKUP($A27,Servings!$C:$K,4,FALSE)</f>
        <v>0</v>
      </c>
      <c r="AC27" s="2">
        <f>VLOOKUP($A27,Servings!$C:$K,5,FALSE)</f>
        <v>0</v>
      </c>
      <c r="AD27" s="14">
        <f>VLOOKUP($A27,Servings!$C:$K,6,FALSE)</f>
        <v>500</v>
      </c>
      <c r="AE27" s="2">
        <f>VLOOKUP($A27,Servings!$C:$K,7,FALSE)</f>
        <v>13</v>
      </c>
      <c r="AF27" s="2">
        <f>VLOOKUP($A27,Servings!$C:$K,8,FALSE)</f>
        <v>31</v>
      </c>
      <c r="AG27" s="2">
        <f>VLOOKUP($A27,Servings!$C:$K,9,FALSE)</f>
        <v>63</v>
      </c>
      <c r="AH27">
        <f>VLOOKUP($A27,Servings!$C:$Y,10,FALSE)</f>
        <v>0</v>
      </c>
      <c r="AI27">
        <f>VLOOKUP($A27,Servings!$C:$Y,11,FALSE)</f>
        <v>0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</v>
      </c>
      <c r="AP27">
        <f>VLOOKUP($A27,Servings!$C:$Y,18,FALSE)</f>
        <v>0</v>
      </c>
      <c r="AQ27">
        <f>VLOOKUP($A27,Servings!$C:$Y,19,FALSE)</f>
        <v>0</v>
      </c>
      <c r="AR27">
        <f>VLOOKUP($A27,Servings!$C:$Y,20,FALSE)</f>
        <v>0</v>
      </c>
      <c r="AS27">
        <f>VLOOKUP($A27,Servings!$C:$Y,21,FALSE)</f>
        <v>0</v>
      </c>
      <c r="AT27">
        <f>VLOOKUP($A27,Servings!$C:$Y,22,FALSE)</f>
        <v>0</v>
      </c>
      <c r="AU27">
        <f>VLOOKUP($A27,Servings!$C:$Y,23,FALSE)</f>
        <v>0</v>
      </c>
    </row>
    <row r="28" spans="1:47" x14ac:dyDescent="0.25">
      <c r="A28" s="2" t="s">
        <v>110</v>
      </c>
      <c r="B28" s="2">
        <v>130</v>
      </c>
      <c r="C28" s="2" t="str">
        <f>IF(IFERROR(VLOOKUP(A28, Servings!C:G, 3, FALSE), "")=0, "", IFERROR(VLOOKUP(A28, Servings!C:G, 3, FALSE), ""))</f>
        <v>g</v>
      </c>
      <c r="D28" s="2" t="str">
        <f>IF(IFERROR(VLOOKUP(A28, Servings!C:G, 5, FALSE), "")=0, "", IFERROR(VLOOKUP(A28, Servings!C:G, 5, FALSE), ""))</f>
        <v>cup</v>
      </c>
      <c r="E28" s="2" t="s">
        <v>28</v>
      </c>
      <c r="F28" s="19" t="s">
        <v>242</v>
      </c>
      <c r="G28" s="3">
        <f>IF(E28=AC28, B28/AB28, IF(E28=AA28, B28/Z28, "Condition not met"))</f>
        <v>1</v>
      </c>
      <c r="H28" s="4">
        <f>$G28*AD28</f>
        <v>120</v>
      </c>
      <c r="I28" s="4">
        <f t="shared" si="0"/>
        <v>0.5</v>
      </c>
      <c r="J28" s="4">
        <f t="shared" si="0"/>
        <v>22</v>
      </c>
      <c r="K28" s="4">
        <f t="shared" si="0"/>
        <v>7</v>
      </c>
      <c r="L28" s="4">
        <f t="shared" si="0"/>
        <v>0</v>
      </c>
      <c r="M28" s="4">
        <f t="shared" si="0"/>
        <v>50</v>
      </c>
      <c r="N28" s="4">
        <f t="shared" si="0"/>
        <v>6</v>
      </c>
      <c r="O28" s="4">
        <f t="shared" si="0"/>
        <v>1.7</v>
      </c>
      <c r="P28" s="4">
        <f t="shared" si="0"/>
        <v>0</v>
      </c>
      <c r="Q28" s="4">
        <f t="shared" si="0"/>
        <v>0</v>
      </c>
      <c r="R28" s="4">
        <f t="shared" si="0"/>
        <v>480</v>
      </c>
      <c r="S28" s="4">
        <f t="shared" si="0"/>
        <v>0</v>
      </c>
      <c r="T28" s="4">
        <f t="shared" si="0"/>
        <v>410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1"/>
        <v>0</v>
      </c>
      <c r="Y28" s="4">
        <f t="shared" si="1"/>
        <v>0</v>
      </c>
      <c r="Z28" s="2">
        <f>VLOOKUP($A28,Servings!$C:$K,2,FALSE)</f>
        <v>130</v>
      </c>
      <c r="AA28" s="2" t="str">
        <f>VLOOKUP($A28,Servings!$C:$K,3,FALSE)</f>
        <v>g</v>
      </c>
      <c r="AB28" s="2">
        <f>VLOOKUP($A28,Servings!$C:$K,4,FALSE)</f>
        <v>0.5</v>
      </c>
      <c r="AC28" s="2" t="str">
        <f>VLOOKUP($A28,Servings!$C:$K,5,FALSE)</f>
        <v>cup</v>
      </c>
      <c r="AD28" s="14">
        <f>VLOOKUP($A28,Servings!$C:$K,6,FALSE)</f>
        <v>120</v>
      </c>
      <c r="AE28" s="2">
        <f>VLOOKUP($A28,Servings!$C:$K,7,FALSE)</f>
        <v>0.5</v>
      </c>
      <c r="AF28" s="2">
        <f>VLOOKUP($A28,Servings!$C:$K,8,FALSE)</f>
        <v>22</v>
      </c>
      <c r="AG28" s="2">
        <f>VLOOKUP($A28,Servings!$C:$K,9,FALSE)</f>
        <v>7</v>
      </c>
      <c r="AH28">
        <f>VLOOKUP($A28,Servings!$C:$Y,10,FALSE)</f>
        <v>0</v>
      </c>
      <c r="AI28">
        <f>VLOOKUP($A28,Servings!$C:$Y,11,FALSE)</f>
        <v>50</v>
      </c>
      <c r="AJ28">
        <f>VLOOKUP($A28,Servings!$C:$Y,12,FALSE)</f>
        <v>6</v>
      </c>
      <c r="AK28">
        <f>VLOOKUP($A28,Servings!$C:$Y,13,FALSE)</f>
        <v>1.7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480</v>
      </c>
      <c r="AO28">
        <f>VLOOKUP($A28,Servings!$C:$Y,17,FALSE)</f>
        <v>0</v>
      </c>
      <c r="AP28">
        <f>VLOOKUP($A28,Servings!$C:$Y,18,FALSE)</f>
        <v>410</v>
      </c>
      <c r="AQ28">
        <f>VLOOKUP($A28,Servings!$C:$Y,19,FALSE)</f>
        <v>0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0</v>
      </c>
    </row>
    <row r="29" spans="1:47" x14ac:dyDescent="0.25">
      <c r="A29" s="2" t="s">
        <v>252</v>
      </c>
      <c r="B29" s="2">
        <v>91</v>
      </c>
      <c r="C29" s="2" t="str">
        <f>IF(IFERROR(VLOOKUP(A29, Servings!C:G, 3, FALSE), "")=0, "", IFERROR(VLOOKUP(A29, Servings!C:G, 3, FALSE), ""))</f>
        <v>g</v>
      </c>
      <c r="D29" s="2" t="str">
        <f>IF(IFERROR(VLOOKUP(A29, Servings!C:G, 5, FALSE), "")=0, "", IFERROR(VLOOKUP(A29, Servings!C:G, 5, FALSE), ""))</f>
        <v>cup prepared</v>
      </c>
      <c r="E29" s="2" t="s">
        <v>28</v>
      </c>
      <c r="F29" s="19" t="s">
        <v>243</v>
      </c>
      <c r="G29" s="3">
        <f>IF(E29=AC29, B29/AB29, IF(E29=AA29, B29/Z29, "Condition not met"))</f>
        <v>0.94791666666666663</v>
      </c>
      <c r="H29" s="4">
        <f>$G29*AD29</f>
        <v>18.958333333333332</v>
      </c>
      <c r="I29" s="4">
        <f t="shared" si="0"/>
        <v>0</v>
      </c>
      <c r="J29" s="4">
        <f t="shared" si="0"/>
        <v>3.7916666666666665</v>
      </c>
      <c r="K29" s="4">
        <f t="shared" si="0"/>
        <v>1.8958333333333333</v>
      </c>
      <c r="L29" s="4">
        <f t="shared" si="0"/>
        <v>0</v>
      </c>
      <c r="M29" s="4">
        <f t="shared" si="0"/>
        <v>0</v>
      </c>
      <c r="N29" s="4">
        <f t="shared" si="0"/>
        <v>1.8958333333333333</v>
      </c>
      <c r="O29" s="4">
        <f t="shared" si="0"/>
        <v>0</v>
      </c>
      <c r="P29" s="4">
        <f t="shared" si="0"/>
        <v>0</v>
      </c>
      <c r="Q29" s="4">
        <f t="shared" si="0"/>
        <v>0</v>
      </c>
      <c r="R29" s="4">
        <f t="shared" si="0"/>
        <v>218.02083333333331</v>
      </c>
      <c r="S29" s="4">
        <f t="shared" si="0"/>
        <v>0</v>
      </c>
      <c r="T29" s="4">
        <f t="shared" si="0"/>
        <v>18.958333333333332</v>
      </c>
      <c r="U29" s="4">
        <f t="shared" si="0"/>
        <v>1.8958333333333333</v>
      </c>
      <c r="V29" s="4">
        <f t="shared" si="0"/>
        <v>0</v>
      </c>
      <c r="W29" s="4">
        <f t="shared" si="0"/>
        <v>0</v>
      </c>
      <c r="X29" s="4">
        <f t="shared" si="1"/>
        <v>0</v>
      </c>
      <c r="Y29" s="4">
        <f t="shared" si="1"/>
        <v>0</v>
      </c>
      <c r="Z29" s="2">
        <f>VLOOKUP($A29,Servings!$C:$K,2,FALSE)</f>
        <v>96</v>
      </c>
      <c r="AA29" s="2" t="str">
        <f>VLOOKUP($A29,Servings!$C:$K,3,FALSE)</f>
        <v>g</v>
      </c>
      <c r="AB29" s="2">
        <f>VLOOKUP($A29,Servings!$C:$K,4,FALSE)</f>
        <v>0.75</v>
      </c>
      <c r="AC29" s="2" t="str">
        <f>VLOOKUP($A29,Servings!$C:$K,5,FALSE)</f>
        <v>cup prepared</v>
      </c>
      <c r="AD29" s="14">
        <f>VLOOKUP($A29,Servings!$C:$K,6,FALSE)</f>
        <v>20</v>
      </c>
      <c r="AE29" s="2">
        <f>VLOOKUP($A29,Servings!$C:$K,7,FALSE)</f>
        <v>0</v>
      </c>
      <c r="AF29" s="2">
        <f>VLOOKUP($A29,Servings!$C:$K,8,FALSE)</f>
        <v>4</v>
      </c>
      <c r="AG29" s="2">
        <f>VLOOKUP($A29,Servings!$C:$K,9,FALSE)</f>
        <v>2</v>
      </c>
      <c r="AH29">
        <f>VLOOKUP($A29,Servings!$C:$Y,10,FALSE)</f>
        <v>0</v>
      </c>
      <c r="AI29">
        <f>VLOOKUP($A29,Servings!$C:$Y,11,FALSE)</f>
        <v>0</v>
      </c>
      <c r="AJ29">
        <f>VLOOKUP($A29,Servings!$C:$Y,12,FALSE)</f>
        <v>2</v>
      </c>
      <c r="AK29">
        <f>VLOOKUP($A29,Servings!$C:$Y,13,FALSE)</f>
        <v>0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230</v>
      </c>
      <c r="AO29">
        <f>VLOOKUP($A29,Servings!$C:$Y,17,FALSE)</f>
        <v>0</v>
      </c>
      <c r="AP29">
        <f>VLOOKUP($A29,Servings!$C:$Y,18,FALSE)</f>
        <v>20</v>
      </c>
      <c r="AQ29">
        <f>VLOOKUP($A29,Servings!$C:$Y,19,FALSE)</f>
        <v>2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30" s="2" t="s">
        <v>24</v>
      </c>
      <c r="B30" s="2">
        <v>7</v>
      </c>
      <c r="C30" s="2" t="str">
        <f>IF(IFERROR(VLOOKUP(A30, Servings!C:G, 3, FALSE), "")=0, "", IFERROR(VLOOKUP(A30, Servings!C:G, 3, FALSE), ""))</f>
        <v>oz</v>
      </c>
      <c r="D30" s="2" t="str">
        <f>IF(IFERROR(VLOOKUP(A30, Servings!C:G, 5, FALSE), "")=0, "", IFERROR(VLOOKUP(A30, Servings!C:G, 5, FALSE), ""))</f>
        <v>nuts</v>
      </c>
      <c r="E30" s="2" t="s">
        <v>31</v>
      </c>
      <c r="F30" s="19" t="s">
        <v>243</v>
      </c>
      <c r="G30" s="3">
        <f>IF(E30=AC30, B30/AB30, IF(E30=AA30, B30/Z30, "Condition not met"))</f>
        <v>0.29166666666666669</v>
      </c>
      <c r="H30" s="4">
        <f>$G30*AD30</f>
        <v>46.666666666666671</v>
      </c>
      <c r="I30" s="4">
        <f t="shared" ref="I30:X32" si="19">$G30*AE30</f>
        <v>4.0833333333333339</v>
      </c>
      <c r="J30" s="4">
        <f t="shared" si="19"/>
        <v>1.75</v>
      </c>
      <c r="K30" s="4">
        <f t="shared" si="19"/>
        <v>1.75</v>
      </c>
      <c r="L30" s="4">
        <f t="shared" si="19"/>
        <v>0</v>
      </c>
      <c r="M30" s="4">
        <f t="shared" si="19"/>
        <v>20.416666666666668</v>
      </c>
      <c r="N30" s="4">
        <f t="shared" si="19"/>
        <v>0.875</v>
      </c>
      <c r="O30" s="4">
        <f t="shared" si="19"/>
        <v>0.32083333333333336</v>
      </c>
      <c r="P30" s="4">
        <f t="shared" si="19"/>
        <v>2.625</v>
      </c>
      <c r="Q30" s="4">
        <f t="shared" si="19"/>
        <v>1.0208333333333335</v>
      </c>
      <c r="R30" s="4">
        <f t="shared" si="19"/>
        <v>58.333333333333336</v>
      </c>
      <c r="S30" s="4">
        <f t="shared" si="19"/>
        <v>0.29166666666666669</v>
      </c>
      <c r="T30" s="4">
        <f t="shared" si="19"/>
        <v>0</v>
      </c>
      <c r="U30" s="4">
        <f t="shared" si="19"/>
        <v>0.29166666666666669</v>
      </c>
      <c r="V30" s="4">
        <f t="shared" si="19"/>
        <v>0</v>
      </c>
      <c r="W30" s="4">
        <f t="shared" si="19"/>
        <v>0</v>
      </c>
      <c r="X30" s="4">
        <f t="shared" si="19"/>
        <v>0</v>
      </c>
      <c r="Y30" s="4">
        <f t="shared" ref="Y30:Y32" si="20">$G30*AU30</f>
        <v>0</v>
      </c>
      <c r="Z30" s="2">
        <f>VLOOKUP($A30,Servings!$C:$K,2,FALSE)</f>
        <v>28.34</v>
      </c>
      <c r="AA30" s="2" t="str">
        <f>VLOOKUP($A30,Servings!$C:$K,3,FALSE)</f>
        <v>oz</v>
      </c>
      <c r="AB30" s="2">
        <f>VLOOKUP($A30,Servings!$C:$K,4,FALSE)</f>
        <v>24</v>
      </c>
      <c r="AC30" s="2" t="str">
        <f>VLOOKUP($A30,Servings!$C:$K,5,FALSE)</f>
        <v>nuts</v>
      </c>
      <c r="AD30" s="14">
        <f>VLOOKUP($A30,Servings!$C:$K,6,FALSE)</f>
        <v>160</v>
      </c>
      <c r="AE30" s="2">
        <f>VLOOKUP($A30,Servings!$C:$K,7,FALSE)</f>
        <v>14</v>
      </c>
      <c r="AF30" s="2">
        <f>VLOOKUP($A30,Servings!$C:$K,8,FALSE)</f>
        <v>6</v>
      </c>
      <c r="AG30" s="2">
        <f>VLOOKUP($A30,Servings!$C:$K,9,FALSE)</f>
        <v>6</v>
      </c>
      <c r="AH30">
        <f>VLOOKUP($A30,Servings!$C:$Y,10,FALSE)</f>
        <v>0</v>
      </c>
      <c r="AI30">
        <f>VLOOKUP($A30,Servings!$C:$Y,11,FALSE)</f>
        <v>70</v>
      </c>
      <c r="AJ30">
        <f>VLOOKUP($A30,Servings!$C:$Y,12,FALSE)</f>
        <v>3</v>
      </c>
      <c r="AK30">
        <f>VLOOKUP($A30,Servings!$C:$Y,13,FALSE)</f>
        <v>1.1000000000000001</v>
      </c>
      <c r="AL30">
        <f>VLOOKUP($A30,Servings!$C:$Y,14,FALSE)</f>
        <v>9</v>
      </c>
      <c r="AM30">
        <f>VLOOKUP($A30,Servings!$C:$Y,15,FALSE)</f>
        <v>3.5</v>
      </c>
      <c r="AN30">
        <f>VLOOKUP($A30,Servings!$C:$Y,16,FALSE)</f>
        <v>200</v>
      </c>
      <c r="AO30">
        <f>VLOOKUP($A30,Servings!$C:$Y,17,FALSE)</f>
        <v>1</v>
      </c>
      <c r="AP30">
        <f>VLOOKUP($A30,Servings!$C:$Y,18,FALSE)</f>
        <v>0</v>
      </c>
      <c r="AQ30">
        <f>VLOOKUP($A30,Servings!$C:$Y,19,FALSE)</f>
        <v>1</v>
      </c>
      <c r="AR30">
        <f>VLOOKUP($A30,Servings!$C:$Y,20,FALSE)</f>
        <v>0</v>
      </c>
      <c r="AS30">
        <f>VLOOKUP($A30,Servings!$C:$Y,21,FALSE)</f>
        <v>0</v>
      </c>
      <c r="AT30">
        <f>VLOOKUP($A30,Servings!$C:$Y,22,FALSE)</f>
        <v>0</v>
      </c>
      <c r="AU30">
        <f>VLOOKUP($A30,Servings!$C:$Y,23,FALSE)</f>
        <v>0</v>
      </c>
    </row>
    <row r="31" spans="1:47" x14ac:dyDescent="0.25">
      <c r="A31" s="2" t="s">
        <v>172</v>
      </c>
      <c r="B31" s="2">
        <v>127</v>
      </c>
      <c r="C31" s="2" t="str">
        <f>IF(IFERROR(VLOOKUP(A31, Servings!C:G, 3, FALSE), "")=0, "", IFERROR(VLOOKUP(A31, Servings!C:G, 3, FALSE), ""))</f>
        <v>g</v>
      </c>
      <c r="D31" s="2" t="str">
        <f>IF(IFERROR(VLOOKUP(A31, Servings!C:G, 5, FALSE), "")=0, "", IFERROR(VLOOKUP(A31, Servings!C:G, 5, FALSE), ""))</f>
        <v>serving</v>
      </c>
      <c r="E31" s="2" t="s">
        <v>28</v>
      </c>
      <c r="F31" s="19" t="s">
        <v>244</v>
      </c>
      <c r="G31" s="3">
        <f>IF(E31=AC31, B31/AB31, IF(E31=AA31, B31/Z31, "Condition not met"))</f>
        <v>1.1339285714285714</v>
      </c>
      <c r="H31" s="4">
        <f>$G31*AD31</f>
        <v>136.07142857142856</v>
      </c>
      <c r="I31" s="4">
        <f t="shared" si="19"/>
        <v>2.8348214285714284</v>
      </c>
      <c r="J31" s="4">
        <f t="shared" si="19"/>
        <v>0</v>
      </c>
      <c r="K31" s="4">
        <f t="shared" si="19"/>
        <v>26.080357142857142</v>
      </c>
      <c r="L31" s="4">
        <f t="shared" si="19"/>
        <v>0</v>
      </c>
      <c r="M31" s="4">
        <f t="shared" si="19"/>
        <v>0</v>
      </c>
      <c r="N31" s="4">
        <f t="shared" si="19"/>
        <v>0</v>
      </c>
      <c r="O31" s="4">
        <f t="shared" si="19"/>
        <v>0</v>
      </c>
      <c r="P31" s="4">
        <f t="shared" si="19"/>
        <v>0</v>
      </c>
      <c r="Q31" s="4">
        <f t="shared" si="19"/>
        <v>0</v>
      </c>
      <c r="R31" s="4">
        <f t="shared" si="19"/>
        <v>0</v>
      </c>
      <c r="S31" s="4">
        <f t="shared" si="19"/>
        <v>0</v>
      </c>
      <c r="T31" s="4">
        <f t="shared" si="19"/>
        <v>0</v>
      </c>
      <c r="U31" s="4">
        <f t="shared" si="19"/>
        <v>0</v>
      </c>
      <c r="V31" s="4">
        <f t="shared" si="19"/>
        <v>0</v>
      </c>
      <c r="W31" s="4">
        <f t="shared" si="19"/>
        <v>0</v>
      </c>
      <c r="X31" s="4">
        <f t="shared" si="19"/>
        <v>0</v>
      </c>
      <c r="Y31" s="4">
        <f t="shared" si="20"/>
        <v>0</v>
      </c>
      <c r="Z31" s="2">
        <f>VLOOKUP($A31,Servings!$C:$K,2,FALSE)</f>
        <v>112</v>
      </c>
      <c r="AA31" s="2" t="str">
        <f>VLOOKUP($A31,Servings!$C:$K,3,FALSE)</f>
        <v>g</v>
      </c>
      <c r="AB31" s="2">
        <f>VLOOKUP($A31,Servings!$C:$K,4,FALSE)</f>
        <v>1</v>
      </c>
      <c r="AC31" s="2" t="str">
        <f>VLOOKUP($A31,Servings!$C:$K,5,FALSE)</f>
        <v>serving</v>
      </c>
      <c r="AD31" s="14">
        <f>VLOOKUP($A31,Servings!$C:$K,6,FALSE)</f>
        <v>120</v>
      </c>
      <c r="AE31" s="2">
        <f>VLOOKUP($A31,Servings!$C:$K,7,FALSE)</f>
        <v>2.5</v>
      </c>
      <c r="AF31" s="2">
        <f>VLOOKUP($A31,Servings!$C:$K,8,FALSE)</f>
        <v>0</v>
      </c>
      <c r="AG31" s="2">
        <f>VLOOKUP($A31,Servings!$C:$K,9,FALSE)</f>
        <v>23</v>
      </c>
      <c r="AH31">
        <f>VLOOKUP($A31,Servings!$C:$Y,10,FALSE)</f>
        <v>0</v>
      </c>
      <c r="AI31">
        <f>VLOOKUP($A31,Servings!$C:$Y,11,FALSE)</f>
        <v>0</v>
      </c>
      <c r="AJ31">
        <f>VLOOKUP($A31,Servings!$C:$Y,12,FALSE)</f>
        <v>0</v>
      </c>
      <c r="AK31">
        <f>VLOOKUP($A31,Servings!$C:$Y,13,FALSE)</f>
        <v>0</v>
      </c>
      <c r="AL31">
        <f>VLOOKUP($A31,Servings!$C:$Y,14,FALSE)</f>
        <v>0</v>
      </c>
      <c r="AM31">
        <f>VLOOKUP($A31,Servings!$C:$Y,15,FALSE)</f>
        <v>0</v>
      </c>
      <c r="AN31">
        <f>VLOOKUP($A31,Servings!$C:$Y,16,FALSE)</f>
        <v>0</v>
      </c>
      <c r="AO31">
        <f>VLOOKUP($A31,Servings!$C:$Y,17,FALSE)</f>
        <v>0</v>
      </c>
      <c r="AP31">
        <f>VLOOKUP($A31,Servings!$C:$Y,18,FALSE)</f>
        <v>0</v>
      </c>
      <c r="AQ31">
        <f>VLOOKUP($A31,Servings!$C:$Y,19,FALSE)</f>
        <v>0</v>
      </c>
      <c r="AR31">
        <f>VLOOKUP($A31,Servings!$C:$Y,20,FALSE)</f>
        <v>0</v>
      </c>
      <c r="AS31">
        <f>VLOOKUP($A31,Servings!$C:$Y,21,FALSE)</f>
        <v>0</v>
      </c>
      <c r="AT31">
        <f>VLOOKUP($A31,Servings!$C:$Y,22,FALSE)</f>
        <v>0</v>
      </c>
      <c r="AU31">
        <f>VLOOKUP($A31,Servings!$C:$Y,23,FALSE)</f>
        <v>0</v>
      </c>
    </row>
    <row r="32" spans="1:47" x14ac:dyDescent="0.25">
      <c r="A32" s="2" t="s">
        <v>35</v>
      </c>
      <c r="B32" s="2">
        <v>255</v>
      </c>
      <c r="C32" s="2" t="str">
        <f>IF(IFERROR(VLOOKUP(A32, Servings!C:G, 3, FALSE), "")=0, "", IFERROR(VLOOKUP(A32, Servings!C:G, 3, FALSE), ""))</f>
        <v>g</v>
      </c>
      <c r="D32" s="2" t="str">
        <f>IF(IFERROR(VLOOKUP(A32, Servings!C:G, 5, FALSE), "")=0, "", IFERROR(VLOOKUP(A32, Servings!C:G, 5, FALSE), ""))</f>
        <v/>
      </c>
      <c r="E32" s="2" t="s">
        <v>28</v>
      </c>
      <c r="F32" s="19" t="s">
        <v>244</v>
      </c>
      <c r="G32" s="3">
        <f>IF(E32=AC32, B32/AB32, IF(E32=AA32, B32/Z32, "Condition not met"))</f>
        <v>1.4166666666666667</v>
      </c>
      <c r="H32" s="4">
        <f>$G32*AD32</f>
        <v>302.22222222222223</v>
      </c>
      <c r="I32" s="4">
        <f t="shared" si="19"/>
        <v>0</v>
      </c>
      <c r="J32" s="4">
        <f t="shared" si="19"/>
        <v>68</v>
      </c>
      <c r="K32" s="4">
        <f t="shared" si="19"/>
        <v>5.666666666666667</v>
      </c>
      <c r="L32" s="4">
        <f t="shared" si="19"/>
        <v>0</v>
      </c>
      <c r="M32" s="4">
        <f t="shared" si="19"/>
        <v>3.7777777777777777</v>
      </c>
      <c r="N32" s="4">
        <f t="shared" si="19"/>
        <v>0</v>
      </c>
      <c r="O32" s="4">
        <f t="shared" si="19"/>
        <v>0</v>
      </c>
      <c r="P32" s="4">
        <f t="shared" si="19"/>
        <v>0</v>
      </c>
      <c r="Q32" s="4">
        <f t="shared" si="19"/>
        <v>0</v>
      </c>
      <c r="R32" s="4">
        <f t="shared" si="19"/>
        <v>0</v>
      </c>
      <c r="S32" s="4">
        <f t="shared" si="19"/>
        <v>0</v>
      </c>
      <c r="T32" s="4">
        <f t="shared" si="19"/>
        <v>0</v>
      </c>
      <c r="U32" s="4">
        <f t="shared" si="19"/>
        <v>0</v>
      </c>
      <c r="V32" s="4">
        <f t="shared" si="19"/>
        <v>0</v>
      </c>
      <c r="W32" s="4">
        <f t="shared" si="19"/>
        <v>0</v>
      </c>
      <c r="X32" s="4">
        <f t="shared" si="19"/>
        <v>0</v>
      </c>
      <c r="Y32" s="4">
        <f t="shared" si="20"/>
        <v>0</v>
      </c>
      <c r="Z32" s="2">
        <f>VLOOKUP($A32,Servings!$C:$K,2,FALSE)</f>
        <v>180</v>
      </c>
      <c r="AA32" s="2" t="str">
        <f>VLOOKUP($A32,Servings!$C:$K,3,FALSE)</f>
        <v>g</v>
      </c>
      <c r="AB32" s="2">
        <f>VLOOKUP($A32,Servings!$C:$K,4,FALSE)</f>
        <v>0</v>
      </c>
      <c r="AC32" s="2">
        <f>VLOOKUP($A32,Servings!$C:$K,5,FALSE)</f>
        <v>0</v>
      </c>
      <c r="AD32" s="14">
        <f>VLOOKUP($A32,Servings!$C:$K,6,FALSE)</f>
        <v>213.33333333333331</v>
      </c>
      <c r="AE32" s="2">
        <f>VLOOKUP($A32,Servings!$C:$K,7,FALSE)</f>
        <v>0</v>
      </c>
      <c r="AF32" s="2">
        <f>VLOOKUP($A32,Servings!$C:$K,8,FALSE)</f>
        <v>48</v>
      </c>
      <c r="AG32" s="2">
        <f>VLOOKUP($A32,Servings!$C:$K,9,FALSE)</f>
        <v>4</v>
      </c>
      <c r="AH32">
        <f>VLOOKUP($A32,Servings!$C:$Y,10,FALSE)</f>
        <v>0</v>
      </c>
      <c r="AI32">
        <f>VLOOKUP($A32,Servings!$C:$Y,11,FALSE)</f>
        <v>2.6666666666666665</v>
      </c>
      <c r="AJ32">
        <f>VLOOKUP($A32,Servings!$C:$Y,12,FALSE)</f>
        <v>0</v>
      </c>
      <c r="AK32">
        <f>VLOOKUP($A32,Servings!$C:$Y,13,FALSE)</f>
        <v>0</v>
      </c>
      <c r="AL32">
        <f>VLOOKUP($A32,Servings!$C:$Y,14,FALSE)</f>
        <v>0</v>
      </c>
      <c r="AM32">
        <f>VLOOKUP($A32,Servings!$C:$Y,15,FALSE)</f>
        <v>0</v>
      </c>
      <c r="AN32">
        <f>VLOOKUP($A32,Servings!$C:$Y,16,FALSE)</f>
        <v>0</v>
      </c>
      <c r="AO32">
        <f>VLOOKUP($A32,Servings!$C:$Y,17,FALSE)</f>
        <v>0</v>
      </c>
      <c r="AP32">
        <f>VLOOKUP($A32,Servings!$C:$Y,18,FALSE)</f>
        <v>0</v>
      </c>
      <c r="AQ32">
        <f>VLOOKUP($A32,Servings!$C:$Y,19,FALSE)</f>
        <v>0</v>
      </c>
      <c r="AR32">
        <f>VLOOKUP($A32,Servings!$C:$Y,20,FALSE)</f>
        <v>0</v>
      </c>
      <c r="AS32">
        <f>VLOOKUP($A32,Servings!$C:$Y,21,FALSE)</f>
        <v>0</v>
      </c>
      <c r="AT32">
        <f>VLOOKUP($A32,Servings!$C:$Y,22,FALSE)</f>
        <v>0</v>
      </c>
      <c r="AU32">
        <f>VLOOKUP($A32,Servings!$C:$Y,23,FALSE)</f>
        <v>0</v>
      </c>
    </row>
  </sheetData>
  <conditionalFormatting sqref="H10">
    <cfRule type="colorScale" priority="31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30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29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28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M10">
    <cfRule type="colorScale" priority="26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25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24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R10">
    <cfRule type="colorScale" priority="21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U10">
    <cfRule type="colorScale" priority="18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Y10">
    <cfRule type="colorScale" priority="11">
      <colorScale>
        <cfvo type="formula" val="-$Y$6"/>
        <cfvo type="formula" val="$Y$6"/>
        <color rgb="FF5A8AC6"/>
        <color theme="0"/>
      </colorScale>
    </cfRule>
  </conditionalFormatting>
  <conditionalFormatting sqref="W10">
    <cfRule type="colorScale" priority="10">
      <colorScale>
        <cfvo type="formula" val="-$W$6"/>
        <cfvo type="num" val="0"/>
        <color rgb="FF5A8AC6"/>
        <color theme="0"/>
      </colorScale>
    </cfRule>
  </conditionalFormatting>
  <conditionalFormatting sqref="L10">
    <cfRule type="colorScale" priority="8">
      <colorScale>
        <cfvo type="num" val="0"/>
        <cfvo type="formula" val="$L$6"/>
        <color theme="0"/>
        <color rgb="FFF8696B"/>
      </colorScale>
    </cfRule>
  </conditionalFormatting>
  <conditionalFormatting sqref="L28:L32 L13:L26">
    <cfRule type="colorScale" priority="32">
      <colorScale>
        <cfvo type="min"/>
        <cfvo type="num" val="20"/>
        <color rgb="FFFCFCFF"/>
        <color rgb="FFF8696B"/>
      </colorScale>
    </cfRule>
  </conditionalFormatting>
  <conditionalFormatting sqref="S28:S32 S13:S26">
    <cfRule type="colorScale" priority="34">
      <colorScale>
        <cfvo type="min"/>
        <cfvo type="num" val="20"/>
        <color rgb="FFFCFCFF"/>
        <color rgb="FFF8696B"/>
      </colorScale>
    </cfRule>
  </conditionalFormatting>
  <conditionalFormatting sqref="V10">
    <cfRule type="colorScale" priority="4">
      <colorScale>
        <cfvo type="formula" val="-$V$6"/>
        <cfvo type="formula" val="$V$6"/>
        <color theme="0"/>
        <color rgb="FFF8696B"/>
      </colorScale>
    </cfRule>
  </conditionalFormatting>
  <conditionalFormatting sqref="X10">
    <cfRule type="colorScale" priority="3">
      <colorScale>
        <cfvo type="formula" val="-$X$6"/>
        <cfvo type="num" val="0"/>
        <color rgb="FF5A8AC6"/>
        <color theme="0"/>
      </colorScale>
    </cfRule>
  </conditionalFormatting>
  <conditionalFormatting sqref="S10">
    <cfRule type="colorScale" priority="2">
      <colorScale>
        <cfvo type="num" val="0"/>
        <cfvo type="formula" val="$S$6"/>
        <color theme="0"/>
        <color rgb="FFF8696B"/>
      </colorScale>
    </cfRule>
  </conditionalFormatting>
  <conditionalFormatting sqref="T10">
    <cfRule type="colorScale" priority="1">
      <colorScale>
        <cfvo type="num" val="0"/>
        <cfvo type="formula" val="$T$6"/>
        <color theme="0"/>
        <color rgb="FFF8696B"/>
      </colorScale>
    </cfRule>
  </conditionalFormatting>
  <dataValidations count="4">
    <dataValidation type="list" allowBlank="1" showInputMessage="1" showErrorMessage="1" sqref="G10" xr:uid="{5647FC61-D3AE-4988-B4FE-1E661C2C31AE}">
      <formula1>Type_of_day</formula1>
    </dataValidation>
    <dataValidation type="list" allowBlank="1" showInputMessage="1" showErrorMessage="1" sqref="F13:F32" xr:uid="{3960EBA0-98EE-405E-8F37-63BB404D6435}">
      <formula1>MealTime</formula1>
    </dataValidation>
    <dataValidation type="list" allowBlank="1" showInputMessage="1" showErrorMessage="1" sqref="A13:A32" xr:uid="{2A916FC3-3D3A-4C45-92F7-C9DEA507E334}">
      <formula1>food_name</formula1>
    </dataValidation>
    <dataValidation type="list" allowBlank="1" showInputMessage="1" showErrorMessage="1" sqref="E13:E32" xr:uid="{9E808582-D0E7-4F9D-9827-AAE17059F49B}">
      <formula1>OFFSET($C13,0,0,1,IF(D13&lt;&gt;"",2,1))</formula1>
    </dataValidation>
  </dataValidation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Servings</vt:lpstr>
      <vt:lpstr>MealTime</vt:lpstr>
      <vt:lpstr>consumed food</vt:lpstr>
      <vt:lpstr>consumed food (2)</vt:lpstr>
      <vt:lpstr>consumed food (3)</vt:lpstr>
      <vt:lpstr>consumed food (4)</vt:lpstr>
      <vt:lpstr>food_name</vt:lpstr>
      <vt:lpstr>MealTime</vt:lpstr>
      <vt:lpstr>Type_of_day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Tapia</cp:lastModifiedBy>
  <cp:lastPrinted>2023-11-20T04:14:14Z</cp:lastPrinted>
  <dcterms:created xsi:type="dcterms:W3CDTF">2023-11-17T02:21:29Z</dcterms:created>
  <dcterms:modified xsi:type="dcterms:W3CDTF">2023-11-20T04:30:25Z</dcterms:modified>
</cp:coreProperties>
</file>