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200" activeTab="2"/>
  </bookViews>
  <sheets>
    <sheet name="Summary by mun 315 final" sheetId="1" r:id="rId1"/>
    <sheet name="REVISED INBRED 4 print" sheetId="6" r:id="rId2"/>
    <sheet name="REVISED INBRED HYBRID" sheetId="3" r:id="rId3"/>
  </sheets>
  <definedNames>
    <definedName name="_xlnm.Print_Area" localSheetId="1">'REVISED INBRED 4 print'!$A:$Y</definedName>
    <definedName name="_xlnm.Print_Area" localSheetId="2">'REVISED INBRED HYBRID'!$A:$AD</definedName>
    <definedName name="_xlnm.Print_Area" localSheetId="0">'Summary by mun 315 final'!$A:$P</definedName>
  </definedNames>
  <calcPr calcId="144525"/>
</workbook>
</file>

<file path=xl/calcChain.xml><?xml version="1.0" encoding="utf-8"?>
<calcChain xmlns="http://schemas.openxmlformats.org/spreadsheetml/2006/main">
  <c r="S31" i="3" l="1"/>
  <c r="S21" i="3" l="1"/>
  <c r="AQ43" i="3"/>
  <c r="AQ17" i="3"/>
  <c r="S17" i="3"/>
  <c r="V30" i="3"/>
  <c r="S30" i="3"/>
  <c r="P40" i="3" l="1"/>
  <c r="P25" i="3"/>
  <c r="P11" i="3"/>
  <c r="P10" i="3" l="1"/>
  <c r="P7" i="3" s="1"/>
  <c r="AF13" i="3"/>
  <c r="AI13" i="3" s="1"/>
  <c r="AQ50" i="3" l="1"/>
  <c r="BG59" i="6"/>
  <c r="BJ59" i="6" s="1"/>
  <c r="BD59" i="6"/>
  <c r="BM59" i="6" s="1"/>
  <c r="AS59" i="6"/>
  <c r="AV59" i="6" s="1"/>
  <c r="AW59" i="6" s="1"/>
  <c r="AQ59" i="6"/>
  <c r="AN59" i="6"/>
  <c r="AG59" i="6"/>
  <c r="AJ59" i="6" s="1"/>
  <c r="AK59" i="6" s="1"/>
  <c r="AB59" i="6"/>
  <c r="AE59" i="6" s="1"/>
  <c r="V59" i="6"/>
  <c r="W59" i="6" s="1"/>
  <c r="S59" i="6"/>
  <c r="Q59" i="6"/>
  <c r="N59" i="6"/>
  <c r="J59" i="6"/>
  <c r="G59" i="6"/>
  <c r="H59" i="6" s="1"/>
  <c r="BG58" i="6"/>
  <c r="BJ58" i="6" s="1"/>
  <c r="AS58" i="6"/>
  <c r="AV58" i="6" s="1"/>
  <c r="AW58" i="6" s="1"/>
  <c r="AN58" i="6"/>
  <c r="AQ58" i="6" s="1"/>
  <c r="AM58" i="6"/>
  <c r="AH58" i="6"/>
  <c r="AG58" i="6"/>
  <c r="AJ58" i="6" s="1"/>
  <c r="AK58" i="6" s="1"/>
  <c r="AC58" i="6"/>
  <c r="AB58" i="6"/>
  <c r="AE58" i="6" s="1"/>
  <c r="T58" i="6"/>
  <c r="S58" i="6"/>
  <c r="V58" i="6" s="1"/>
  <c r="O58" i="6"/>
  <c r="M58" i="6"/>
  <c r="N58" i="6" s="1"/>
  <c r="H58" i="6"/>
  <c r="G58" i="6"/>
  <c r="J58" i="6" s="1"/>
  <c r="BJ57" i="6"/>
  <c r="AW57" i="6"/>
  <c r="AV57" i="6"/>
  <c r="AQ57" i="6"/>
  <c r="AN57" i="6"/>
  <c r="AK57" i="6"/>
  <c r="AJ57" i="6"/>
  <c r="AE57" i="6"/>
  <c r="V57" i="6"/>
  <c r="N57" i="6"/>
  <c r="Q57" i="6" s="1"/>
  <c r="H57" i="6"/>
  <c r="G57" i="6"/>
  <c r="J57" i="6" s="1"/>
  <c r="BJ56" i="6"/>
  <c r="BG56" i="6"/>
  <c r="AV56" i="6"/>
  <c r="AW56" i="6" s="1"/>
  <c r="AS56" i="6"/>
  <c r="AM56" i="6"/>
  <c r="AN56" i="6" s="1"/>
  <c r="AQ56" i="6" s="1"/>
  <c r="AH56" i="6"/>
  <c r="AG56" i="6"/>
  <c r="AJ56" i="6" s="1"/>
  <c r="AK56" i="6" s="1"/>
  <c r="AE56" i="6"/>
  <c r="AC56" i="6"/>
  <c r="AB56" i="6"/>
  <c r="V56" i="6"/>
  <c r="T56" i="6"/>
  <c r="S56" i="6"/>
  <c r="Q56" i="6"/>
  <c r="W56" i="6" s="1"/>
  <c r="O56" i="6"/>
  <c r="N56" i="6"/>
  <c r="BD56" i="6" s="1"/>
  <c r="M56" i="6"/>
  <c r="J56" i="6"/>
  <c r="G56" i="6"/>
  <c r="H56" i="6" s="1"/>
  <c r="BG55" i="6"/>
  <c r="BJ55" i="6" s="1"/>
  <c r="AS55" i="6"/>
  <c r="AV55" i="6" s="1"/>
  <c r="AN55" i="6"/>
  <c r="AQ55" i="6" s="1"/>
  <c r="AJ55" i="6"/>
  <c r="AK55" i="6" s="1"/>
  <c r="AG55" i="6"/>
  <c r="AE55" i="6"/>
  <c r="AB55" i="6"/>
  <c r="S55" i="6"/>
  <c r="V55" i="6" s="1"/>
  <c r="N55" i="6"/>
  <c r="Q55" i="6" s="1"/>
  <c r="H55" i="6"/>
  <c r="G55" i="6"/>
  <c r="J55" i="6" s="1"/>
  <c r="BJ54" i="6"/>
  <c r="BG54" i="6"/>
  <c r="AV54" i="6"/>
  <c r="AW54" i="6" s="1"/>
  <c r="AS54" i="6"/>
  <c r="AQ54" i="6"/>
  <c r="AN54" i="6"/>
  <c r="AG54" i="6"/>
  <c r="AJ54" i="6" s="1"/>
  <c r="AB54" i="6"/>
  <c r="AE54" i="6" s="1"/>
  <c r="V54" i="6"/>
  <c r="W54" i="6" s="1"/>
  <c r="S54" i="6"/>
  <c r="Q54" i="6"/>
  <c r="N54" i="6"/>
  <c r="BD54" i="6" s="1"/>
  <c r="G54" i="6"/>
  <c r="J54" i="6" s="1"/>
  <c r="BG53" i="6"/>
  <c r="BJ53" i="6" s="1"/>
  <c r="AS53" i="6"/>
  <c r="AV53" i="6" s="1"/>
  <c r="AN53" i="6"/>
  <c r="AQ53" i="6" s="1"/>
  <c r="AJ53" i="6"/>
  <c r="AK53" i="6" s="1"/>
  <c r="AG53" i="6"/>
  <c r="AE53" i="6"/>
  <c r="AB53" i="6"/>
  <c r="S53" i="6"/>
  <c r="V53" i="6" s="1"/>
  <c r="N53" i="6"/>
  <c r="BD53" i="6" s="1"/>
  <c r="J53" i="6"/>
  <c r="H53" i="6"/>
  <c r="G53" i="6"/>
  <c r="BJ52" i="6"/>
  <c r="BG52" i="6"/>
  <c r="AV52" i="6"/>
  <c r="AS52" i="6"/>
  <c r="AM52" i="6"/>
  <c r="AN52" i="6" s="1"/>
  <c r="AQ52" i="6" s="1"/>
  <c r="AJ52" i="6"/>
  <c r="AK52" i="6" s="1"/>
  <c r="AG52" i="6"/>
  <c r="AE52" i="6"/>
  <c r="AB52" i="6"/>
  <c r="S52" i="6"/>
  <c r="V52" i="6" s="1"/>
  <c r="N52" i="6"/>
  <c r="BD52" i="6" s="1"/>
  <c r="J52" i="6"/>
  <c r="H52" i="6"/>
  <c r="G52" i="6"/>
  <c r="BJ51" i="6"/>
  <c r="BG51" i="6"/>
  <c r="AV51" i="6"/>
  <c r="AW51" i="6" s="1"/>
  <c r="AS51" i="6"/>
  <c r="AM51" i="6"/>
  <c r="AN51" i="6" s="1"/>
  <c r="AQ51" i="6" s="1"/>
  <c r="AJ51" i="6"/>
  <c r="AH51" i="6"/>
  <c r="AG51" i="6"/>
  <c r="AC51" i="6"/>
  <c r="AB51" i="6"/>
  <c r="AE51" i="6" s="1"/>
  <c r="T51" i="6"/>
  <c r="S51" i="6"/>
  <c r="V51" i="6" s="1"/>
  <c r="O51" i="6"/>
  <c r="N51" i="6"/>
  <c r="BD51" i="6" s="1"/>
  <c r="M51" i="6"/>
  <c r="G51" i="6"/>
  <c r="J51" i="6" s="1"/>
  <c r="BG50" i="6"/>
  <c r="BJ50" i="6" s="1"/>
  <c r="AS50" i="6"/>
  <c r="AV50" i="6" s="1"/>
  <c r="AW50" i="6" s="1"/>
  <c r="AN50" i="6"/>
  <c r="AQ50" i="6" s="1"/>
  <c r="AJ50" i="6"/>
  <c r="AK50" i="6" s="1"/>
  <c r="AG50" i="6"/>
  <c r="AE50" i="6"/>
  <c r="AB50" i="6"/>
  <c r="S50" i="6"/>
  <c r="V50" i="6" s="1"/>
  <c r="N50" i="6"/>
  <c r="BD50" i="6" s="1"/>
  <c r="M50" i="6"/>
  <c r="G50" i="6"/>
  <c r="J50" i="6" s="1"/>
  <c r="BG49" i="6"/>
  <c r="BJ49" i="6" s="1"/>
  <c r="AS49" i="6"/>
  <c r="AV49" i="6" s="1"/>
  <c r="AN49" i="6"/>
  <c r="AQ49" i="6" s="1"/>
  <c r="AM49" i="6"/>
  <c r="AH49" i="6"/>
  <c r="AG49" i="6"/>
  <c r="AJ49" i="6" s="1"/>
  <c r="AK49" i="6" s="1"/>
  <c r="AE49" i="6"/>
  <c r="AC49" i="6"/>
  <c r="AB49" i="6"/>
  <c r="V49" i="6"/>
  <c r="T49" i="6"/>
  <c r="S49" i="6"/>
  <c r="O49" i="6"/>
  <c r="M49" i="6"/>
  <c r="N49" i="6" s="1"/>
  <c r="H49" i="6"/>
  <c r="G49" i="6"/>
  <c r="J49" i="6" s="1"/>
  <c r="BJ48" i="6"/>
  <c r="BG48" i="6"/>
  <c r="AV48" i="6"/>
  <c r="AW48" i="6" s="1"/>
  <c r="AS48" i="6"/>
  <c r="AQ48" i="6"/>
  <c r="AN48" i="6"/>
  <c r="AH48" i="6"/>
  <c r="AG48" i="6"/>
  <c r="AJ48" i="6" s="1"/>
  <c r="AK48" i="6" s="1"/>
  <c r="AE48" i="6"/>
  <c r="AC48" i="6"/>
  <c r="AB48" i="6"/>
  <c r="V48" i="6"/>
  <c r="T48" i="6"/>
  <c r="S48" i="6"/>
  <c r="O48" i="6"/>
  <c r="M48" i="6"/>
  <c r="N48" i="6" s="1"/>
  <c r="H48" i="6"/>
  <c r="G48" i="6"/>
  <c r="J48" i="6" s="1"/>
  <c r="BJ47" i="6"/>
  <c r="BG47" i="6"/>
  <c r="BD47" i="6"/>
  <c r="BM47" i="6" s="1"/>
  <c r="AV47" i="6"/>
  <c r="AW47" i="6" s="1"/>
  <c r="AS47" i="6"/>
  <c r="AQ47" i="6"/>
  <c r="AN47" i="6"/>
  <c r="AG47" i="6"/>
  <c r="AJ47" i="6" s="1"/>
  <c r="AB47" i="6"/>
  <c r="AE47" i="6" s="1"/>
  <c r="V47" i="6"/>
  <c r="W47" i="6" s="1"/>
  <c r="S47" i="6"/>
  <c r="Q47" i="6"/>
  <c r="N47" i="6"/>
  <c r="G47" i="6"/>
  <c r="J47" i="6" s="1"/>
  <c r="BG46" i="6"/>
  <c r="BJ46" i="6" s="1"/>
  <c r="AS46" i="6"/>
  <c r="AV46" i="6" s="1"/>
  <c r="AN46" i="6"/>
  <c r="AQ46" i="6" s="1"/>
  <c r="AJ46" i="6"/>
  <c r="AK46" i="6" s="1"/>
  <c r="AG46" i="6"/>
  <c r="AE46" i="6"/>
  <c r="AB46" i="6"/>
  <c r="S46" i="6"/>
  <c r="V46" i="6" s="1"/>
  <c r="N46" i="6"/>
  <c r="BD46" i="6" s="1"/>
  <c r="H46" i="6"/>
  <c r="G46" i="6"/>
  <c r="J46" i="6" s="1"/>
  <c r="BJ45" i="6"/>
  <c r="BG45" i="6"/>
  <c r="BD45" i="6"/>
  <c r="BM45" i="6" s="1"/>
  <c r="AV45" i="6"/>
  <c r="AW45" i="6" s="1"/>
  <c r="AS45" i="6"/>
  <c r="AQ45" i="6"/>
  <c r="AN45" i="6"/>
  <c r="AG45" i="6"/>
  <c r="AJ45" i="6" s="1"/>
  <c r="AK45" i="6" s="1"/>
  <c r="AB45" i="6"/>
  <c r="AE45" i="6" s="1"/>
  <c r="V45" i="6"/>
  <c r="W45" i="6" s="1"/>
  <c r="S45" i="6"/>
  <c r="Q45" i="6"/>
  <c r="N45" i="6"/>
  <c r="J45" i="6"/>
  <c r="G45" i="6"/>
  <c r="H45" i="6" s="1"/>
  <c r="BG44" i="6"/>
  <c r="BJ44" i="6" s="1"/>
  <c r="AS44" i="6"/>
  <c r="AV44" i="6" s="1"/>
  <c r="AW44" i="6" s="1"/>
  <c r="AN44" i="6"/>
  <c r="AQ44" i="6" s="1"/>
  <c r="AJ44" i="6"/>
  <c r="AK44" i="6" s="1"/>
  <c r="AG44" i="6"/>
  <c r="AE44" i="6"/>
  <c r="AB44" i="6"/>
  <c r="S44" i="6"/>
  <c r="V44" i="6" s="1"/>
  <c r="N44" i="6"/>
  <c r="Q44" i="6" s="1"/>
  <c r="H44" i="6"/>
  <c r="G44" i="6"/>
  <c r="J44" i="6" s="1"/>
  <c r="BJ43" i="6"/>
  <c r="BG43" i="6"/>
  <c r="BD43" i="6"/>
  <c r="BM43" i="6" s="1"/>
  <c r="AV43" i="6"/>
  <c r="AW43" i="6" s="1"/>
  <c r="AS43" i="6"/>
  <c r="AQ43" i="6"/>
  <c r="AN43" i="6"/>
  <c r="AG43" i="6"/>
  <c r="AJ43" i="6" s="1"/>
  <c r="AB43" i="6"/>
  <c r="AE43" i="6" s="1"/>
  <c r="V43" i="6"/>
  <c r="W43" i="6" s="1"/>
  <c r="S43" i="6"/>
  <c r="Q43" i="6"/>
  <c r="N43" i="6"/>
  <c r="G43" i="6"/>
  <c r="J43" i="6" s="1"/>
  <c r="BG42" i="6"/>
  <c r="BG40" i="6" s="1"/>
  <c r="AS42" i="6"/>
  <c r="AS40" i="6" s="1"/>
  <c r="AN42" i="6"/>
  <c r="AQ42" i="6" s="1"/>
  <c r="AJ42" i="6"/>
  <c r="AK42" i="6" s="1"/>
  <c r="AG42" i="6"/>
  <c r="AE42" i="6"/>
  <c r="AB42" i="6"/>
  <c r="S42" i="6"/>
  <c r="V42" i="6" s="1"/>
  <c r="N42" i="6"/>
  <c r="BD42" i="6" s="1"/>
  <c r="H42" i="6"/>
  <c r="G42" i="6"/>
  <c r="J42" i="6" s="1"/>
  <c r="BJ41" i="6"/>
  <c r="BG41" i="6"/>
  <c r="AV41" i="6"/>
  <c r="AS41" i="6"/>
  <c r="AM41" i="6"/>
  <c r="AN41" i="6" s="1"/>
  <c r="AQ41" i="6" s="1"/>
  <c r="AQ40" i="6" s="1"/>
  <c r="AJ41" i="6"/>
  <c r="AH41" i="6"/>
  <c r="AG41" i="6"/>
  <c r="AC41" i="6"/>
  <c r="AB41" i="6"/>
  <c r="AE41" i="6" s="1"/>
  <c r="AE40" i="6" s="1"/>
  <c r="T41" i="6"/>
  <c r="S41" i="6"/>
  <c r="V41" i="6" s="1"/>
  <c r="O41" i="6"/>
  <c r="N41" i="6"/>
  <c r="M41" i="6"/>
  <c r="G41" i="6"/>
  <c r="BI40" i="6"/>
  <c r="BH40" i="6"/>
  <c r="BC40" i="6"/>
  <c r="BB40" i="6"/>
  <c r="AU40" i="6"/>
  <c r="AP40" i="6"/>
  <c r="AN40" i="6"/>
  <c r="AI40" i="6"/>
  <c r="AG40" i="6"/>
  <c r="AD40" i="6"/>
  <c r="U40" i="6"/>
  <c r="P40" i="6"/>
  <c r="K40" i="6"/>
  <c r="I40" i="6"/>
  <c r="BG39" i="6"/>
  <c r="BJ39" i="6" s="1"/>
  <c r="BF39" i="6"/>
  <c r="BD39" i="6"/>
  <c r="AV39" i="6"/>
  <c r="AS39" i="6"/>
  <c r="AQ39" i="6"/>
  <c r="AN39" i="6"/>
  <c r="AG39" i="6"/>
  <c r="AJ39" i="6" s="1"/>
  <c r="AK39" i="6" s="1"/>
  <c r="AB39" i="6"/>
  <c r="AE39" i="6" s="1"/>
  <c r="V39" i="6"/>
  <c r="W39" i="6" s="1"/>
  <c r="S39" i="6"/>
  <c r="Q39" i="6"/>
  <c r="N39" i="6"/>
  <c r="J39" i="6"/>
  <c r="G39" i="6"/>
  <c r="H39" i="6" s="1"/>
  <c r="BG38" i="6"/>
  <c r="BJ38" i="6" s="1"/>
  <c r="AW38" i="6"/>
  <c r="AS38" i="6"/>
  <c r="AV38" i="6" s="1"/>
  <c r="AN38" i="6"/>
  <c r="AQ38" i="6" s="1"/>
  <c r="AJ38" i="6"/>
  <c r="AK38" i="6" s="1"/>
  <c r="AG38" i="6"/>
  <c r="AB38" i="6"/>
  <c r="AE38" i="6" s="1"/>
  <c r="S38" i="6"/>
  <c r="V38" i="6" s="1"/>
  <c r="N38" i="6"/>
  <c r="BD38" i="6" s="1"/>
  <c r="BM38" i="6" s="1"/>
  <c r="G38" i="6"/>
  <c r="H38" i="6" s="1"/>
  <c r="BG37" i="6"/>
  <c r="BJ37" i="6" s="1"/>
  <c r="AS37" i="6"/>
  <c r="AV37" i="6" s="1"/>
  <c r="AW37" i="6" s="1"/>
  <c r="AQ37" i="6"/>
  <c r="AN37" i="6"/>
  <c r="AG37" i="6"/>
  <c r="AJ37" i="6" s="1"/>
  <c r="AB37" i="6"/>
  <c r="AE37" i="6" s="1"/>
  <c r="V37" i="6"/>
  <c r="W37" i="6" s="1"/>
  <c r="S37" i="6"/>
  <c r="N37" i="6"/>
  <c r="Q37" i="6" s="1"/>
  <c r="J37" i="6"/>
  <c r="G37" i="6"/>
  <c r="H37" i="6" s="1"/>
  <c r="BG36" i="6"/>
  <c r="BJ36" i="6" s="1"/>
  <c r="BK36" i="6" s="1"/>
  <c r="BD36" i="6"/>
  <c r="BM36" i="6" s="1"/>
  <c r="AS36" i="6"/>
  <c r="AV36" i="6" s="1"/>
  <c r="AW36" i="6" s="1"/>
  <c r="AN36" i="6"/>
  <c r="AQ36" i="6" s="1"/>
  <c r="AG36" i="6"/>
  <c r="AJ36" i="6" s="1"/>
  <c r="AK36" i="6" s="1"/>
  <c r="AE36" i="6"/>
  <c r="AB36" i="6"/>
  <c r="S36" i="6"/>
  <c r="V36" i="6" s="1"/>
  <c r="W36" i="6" s="1"/>
  <c r="N36" i="6"/>
  <c r="Q36" i="6" s="1"/>
  <c r="J36" i="6"/>
  <c r="H36" i="6"/>
  <c r="G36" i="6"/>
  <c r="BJ35" i="6"/>
  <c r="BK35" i="6" s="1"/>
  <c r="BG35" i="6"/>
  <c r="BD35" i="6"/>
  <c r="BM35" i="6" s="1"/>
  <c r="AV35" i="6"/>
  <c r="AW35" i="6" s="1"/>
  <c r="AS35" i="6"/>
  <c r="AN35" i="6"/>
  <c r="AQ35" i="6" s="1"/>
  <c r="AG35" i="6"/>
  <c r="AJ35" i="6" s="1"/>
  <c r="AK35" i="6" s="1"/>
  <c r="AB35" i="6"/>
  <c r="AE35" i="6" s="1"/>
  <c r="S35" i="6"/>
  <c r="V35" i="6" s="1"/>
  <c r="W35" i="6" s="1"/>
  <c r="Q35" i="6"/>
  <c r="N35" i="6"/>
  <c r="G35" i="6"/>
  <c r="J35" i="6" s="1"/>
  <c r="BG34" i="6"/>
  <c r="BJ34" i="6" s="1"/>
  <c r="AS34" i="6"/>
  <c r="AV34" i="6" s="1"/>
  <c r="AN34" i="6"/>
  <c r="AQ34" i="6" s="1"/>
  <c r="AJ34" i="6"/>
  <c r="AK34" i="6" s="1"/>
  <c r="AG34" i="6"/>
  <c r="AB34" i="6"/>
  <c r="AE34" i="6" s="1"/>
  <c r="S34" i="6"/>
  <c r="V34" i="6" s="1"/>
  <c r="W34" i="6" s="1"/>
  <c r="N34" i="6"/>
  <c r="Q34" i="6" s="1"/>
  <c r="G34" i="6"/>
  <c r="H34" i="6" s="1"/>
  <c r="BG33" i="6"/>
  <c r="BJ33" i="6" s="1"/>
  <c r="AS33" i="6"/>
  <c r="AV33" i="6" s="1"/>
  <c r="AW33" i="6" s="1"/>
  <c r="AM33" i="6"/>
  <c r="AN33" i="6" s="1"/>
  <c r="AQ33" i="6" s="1"/>
  <c r="AJ33" i="6"/>
  <c r="AK33" i="6" s="1"/>
  <c r="AH33" i="6"/>
  <c r="AG33" i="6"/>
  <c r="AE33" i="6"/>
  <c r="AC33" i="6"/>
  <c r="AB33" i="6"/>
  <c r="V33" i="6"/>
  <c r="T33" i="6"/>
  <c r="S33" i="6"/>
  <c r="O33" i="6"/>
  <c r="N33" i="6"/>
  <c r="Q33" i="6" s="1"/>
  <c r="M33" i="6"/>
  <c r="G33" i="6"/>
  <c r="J33" i="6" s="1"/>
  <c r="BG32" i="6"/>
  <c r="BJ32" i="6" s="1"/>
  <c r="AS32" i="6"/>
  <c r="AV32" i="6" s="1"/>
  <c r="AW32" i="6" s="1"/>
  <c r="AM32" i="6"/>
  <c r="AN32" i="6" s="1"/>
  <c r="AQ32" i="6" s="1"/>
  <c r="AH32" i="6"/>
  <c r="AG32" i="6"/>
  <c r="AJ32" i="6" s="1"/>
  <c r="AK32" i="6" s="1"/>
  <c r="AE32" i="6"/>
  <c r="AC32" i="6"/>
  <c r="AB32" i="6"/>
  <c r="V32" i="6"/>
  <c r="T32" i="6"/>
  <c r="S32" i="6"/>
  <c r="O32" i="6"/>
  <c r="M32" i="6"/>
  <c r="N32" i="6" s="1"/>
  <c r="J32" i="6"/>
  <c r="H32" i="6"/>
  <c r="G32" i="6"/>
  <c r="BJ31" i="6"/>
  <c r="BG31" i="6"/>
  <c r="AV31" i="6"/>
  <c r="AW31" i="6" s="1"/>
  <c r="AS31" i="6"/>
  <c r="AM31" i="6"/>
  <c r="AN31" i="6" s="1"/>
  <c r="AQ31" i="6" s="1"/>
  <c r="AH31" i="6"/>
  <c r="AG31" i="6"/>
  <c r="AJ31" i="6" s="1"/>
  <c r="AK31" i="6" s="1"/>
  <c r="AC31" i="6"/>
  <c r="AB31" i="6"/>
  <c r="AE31" i="6" s="1"/>
  <c r="T31" i="6"/>
  <c r="S31" i="6"/>
  <c r="V31" i="6" s="1"/>
  <c r="W31" i="6" s="1"/>
  <c r="Q31" i="6"/>
  <c r="O31" i="6"/>
  <c r="N31" i="6"/>
  <c r="BD31" i="6" s="1"/>
  <c r="J31" i="6"/>
  <c r="H31" i="6"/>
  <c r="G31" i="6"/>
  <c r="BJ30" i="6"/>
  <c r="BK30" i="6" s="1"/>
  <c r="BG30" i="6"/>
  <c r="BD30" i="6"/>
  <c r="BM30" i="6" s="1"/>
  <c r="AV30" i="6"/>
  <c r="AS30" i="6"/>
  <c r="AN30" i="6"/>
  <c r="AQ30" i="6" s="1"/>
  <c r="AG30" i="6"/>
  <c r="AJ30" i="6" s="1"/>
  <c r="AB30" i="6"/>
  <c r="AE30" i="6" s="1"/>
  <c r="S30" i="6"/>
  <c r="V30" i="6" s="1"/>
  <c r="W30" i="6" s="1"/>
  <c r="Q30" i="6"/>
  <c r="N30" i="6"/>
  <c r="G30" i="6"/>
  <c r="H30" i="6" s="1"/>
  <c r="BG29" i="6"/>
  <c r="BJ29" i="6" s="1"/>
  <c r="AS29" i="6"/>
  <c r="AV29" i="6" s="1"/>
  <c r="AW29" i="6" s="1"/>
  <c r="AM29" i="6"/>
  <c r="AN29" i="6" s="1"/>
  <c r="AQ29" i="6" s="1"/>
  <c r="AH29" i="6"/>
  <c r="AG29" i="6"/>
  <c r="AJ29" i="6" s="1"/>
  <c r="AK29" i="6" s="1"/>
  <c r="AE29" i="6"/>
  <c r="AC29" i="6"/>
  <c r="AB29" i="6"/>
  <c r="V29" i="6"/>
  <c r="T29" i="6"/>
  <c r="S29" i="6"/>
  <c r="O29" i="6"/>
  <c r="M29" i="6"/>
  <c r="N29" i="6" s="1"/>
  <c r="J29" i="6"/>
  <c r="H29" i="6"/>
  <c r="G29" i="6"/>
  <c r="BJ28" i="6"/>
  <c r="BK28" i="6" s="1"/>
  <c r="BG28" i="6"/>
  <c r="BD28" i="6"/>
  <c r="BM28" i="6" s="1"/>
  <c r="AV28" i="6"/>
  <c r="AS28" i="6"/>
  <c r="AN28" i="6"/>
  <c r="AQ28" i="6" s="1"/>
  <c r="AG28" i="6"/>
  <c r="AJ28" i="6" s="1"/>
  <c r="AB28" i="6"/>
  <c r="AE28" i="6" s="1"/>
  <c r="S28" i="6"/>
  <c r="V28" i="6" s="1"/>
  <c r="W28" i="6" s="1"/>
  <c r="Q28" i="6"/>
  <c r="N28" i="6"/>
  <c r="G28" i="6"/>
  <c r="H28" i="6" s="1"/>
  <c r="BG27" i="6"/>
  <c r="BJ27" i="6" s="1"/>
  <c r="AS27" i="6"/>
  <c r="AV27" i="6" s="1"/>
  <c r="AW27" i="6" s="1"/>
  <c r="AN27" i="6"/>
  <c r="AQ27" i="6" s="1"/>
  <c r="AJ27" i="6"/>
  <c r="AG27" i="6"/>
  <c r="AB27" i="6"/>
  <c r="AE27" i="6" s="1"/>
  <c r="S27" i="6"/>
  <c r="V27" i="6" s="1"/>
  <c r="N27" i="6"/>
  <c r="Q27" i="6" s="1"/>
  <c r="G27" i="6"/>
  <c r="J27" i="6" s="1"/>
  <c r="BG26" i="6"/>
  <c r="BJ26" i="6" s="1"/>
  <c r="AS26" i="6"/>
  <c r="AV26" i="6" s="1"/>
  <c r="AM26" i="6"/>
  <c r="AN26" i="6" s="1"/>
  <c r="AJ26" i="6"/>
  <c r="AG26" i="6"/>
  <c r="AB26" i="6"/>
  <c r="AB25" i="6" s="1"/>
  <c r="S26" i="6"/>
  <c r="V26" i="6" s="1"/>
  <c r="N26" i="6"/>
  <c r="G26" i="6"/>
  <c r="J26" i="6" s="1"/>
  <c r="BI25" i="6"/>
  <c r="BH25" i="6"/>
  <c r="BC25" i="6"/>
  <c r="BB25" i="6"/>
  <c r="AU25" i="6"/>
  <c r="AU10" i="6" s="1"/>
  <c r="AS25" i="6"/>
  <c r="AP25" i="6"/>
  <c r="AI25" i="6"/>
  <c r="AG25" i="6"/>
  <c r="AD25" i="6"/>
  <c r="V25" i="6"/>
  <c r="U25" i="6"/>
  <c r="P25" i="6"/>
  <c r="K25" i="6"/>
  <c r="I25" i="6"/>
  <c r="BM24" i="6"/>
  <c r="BG24" i="6"/>
  <c r="BJ24" i="6" s="1"/>
  <c r="BD24" i="6"/>
  <c r="BK24" i="6" s="1"/>
  <c r="AS24" i="6"/>
  <c r="AV24" i="6" s="1"/>
  <c r="AW24" i="6" s="1"/>
  <c r="AQ24" i="6"/>
  <c r="AM24" i="6"/>
  <c r="AN24" i="6" s="1"/>
  <c r="AJ24" i="6"/>
  <c r="AK24" i="6" s="1"/>
  <c r="AH24" i="6"/>
  <c r="AG24" i="6"/>
  <c r="AE24" i="6"/>
  <c r="AC24" i="6"/>
  <c r="AB24" i="6"/>
  <c r="V24" i="6"/>
  <c r="T24" i="6"/>
  <c r="S24" i="6"/>
  <c r="O24" i="6"/>
  <c r="N24" i="6"/>
  <c r="Q24" i="6" s="1"/>
  <c r="M24" i="6"/>
  <c r="H24" i="6"/>
  <c r="G24" i="6"/>
  <c r="J24" i="6" s="1"/>
  <c r="BG23" i="6"/>
  <c r="BJ23" i="6" s="1"/>
  <c r="AV23" i="6"/>
  <c r="AW23" i="6" s="1"/>
  <c r="AS23" i="6"/>
  <c r="AN23" i="6"/>
  <c r="AQ23" i="6" s="1"/>
  <c r="AJ23" i="6"/>
  <c r="AK23" i="6" s="1"/>
  <c r="AH23" i="6"/>
  <c r="AG23" i="6"/>
  <c r="AE23" i="6"/>
  <c r="AC23" i="6"/>
  <c r="AB23" i="6"/>
  <c r="V23" i="6"/>
  <c r="T23" i="6"/>
  <c r="S23" i="6"/>
  <c r="O23" i="6"/>
  <c r="N23" i="6"/>
  <c r="M23" i="6"/>
  <c r="H23" i="6"/>
  <c r="G23" i="6"/>
  <c r="J23" i="6" s="1"/>
  <c r="BG22" i="6"/>
  <c r="BJ22" i="6" s="1"/>
  <c r="AV22" i="6"/>
  <c r="AW22" i="6" s="1"/>
  <c r="AS22" i="6"/>
  <c r="AN22" i="6"/>
  <c r="AQ22" i="6" s="1"/>
  <c r="AJ22" i="6"/>
  <c r="AK22" i="6" s="1"/>
  <c r="AG22" i="6"/>
  <c r="AB22" i="6"/>
  <c r="AE22" i="6" s="1"/>
  <c r="S22" i="6"/>
  <c r="V22" i="6" s="1"/>
  <c r="W22" i="6" s="1"/>
  <c r="Q22" i="6"/>
  <c r="N22" i="6"/>
  <c r="BD22" i="6" s="1"/>
  <c r="G22" i="6"/>
  <c r="BG21" i="6"/>
  <c r="BJ21" i="6" s="1"/>
  <c r="AS21" i="6"/>
  <c r="AV21" i="6" s="1"/>
  <c r="AQ21" i="6"/>
  <c r="AN21" i="6"/>
  <c r="AJ21" i="6"/>
  <c r="AH21" i="6"/>
  <c r="AG21" i="6"/>
  <c r="AC21" i="6"/>
  <c r="AB21" i="6"/>
  <c r="AE21" i="6" s="1"/>
  <c r="T21" i="6"/>
  <c r="S21" i="6"/>
  <c r="V21" i="6" s="1"/>
  <c r="O21" i="6"/>
  <c r="N21" i="6"/>
  <c r="M21" i="6"/>
  <c r="I21" i="6"/>
  <c r="I11" i="6" s="1"/>
  <c r="G21" i="6"/>
  <c r="BG20" i="6"/>
  <c r="BJ20" i="6" s="1"/>
  <c r="BD20" i="6"/>
  <c r="BK20" i="6" s="1"/>
  <c r="AS20" i="6"/>
  <c r="AV20" i="6" s="1"/>
  <c r="AW20" i="6" s="1"/>
  <c r="AQ20" i="6"/>
  <c r="AN20" i="6"/>
  <c r="AG20" i="6"/>
  <c r="AJ20" i="6" s="1"/>
  <c r="AK20" i="6" s="1"/>
  <c r="AB20" i="6"/>
  <c r="AE20" i="6" s="1"/>
  <c r="V20" i="6"/>
  <c r="W20" i="6" s="1"/>
  <c r="S20" i="6"/>
  <c r="N20" i="6"/>
  <c r="Q20" i="6" s="1"/>
  <c r="J20" i="6"/>
  <c r="G20" i="6"/>
  <c r="H20" i="6" s="1"/>
  <c r="BM19" i="6"/>
  <c r="BG19" i="6"/>
  <c r="BJ19" i="6" s="1"/>
  <c r="BD19" i="6"/>
  <c r="BK19" i="6" s="1"/>
  <c r="AS19" i="6"/>
  <c r="AV19" i="6" s="1"/>
  <c r="AN19" i="6"/>
  <c r="AQ19" i="6" s="1"/>
  <c r="AW19" i="6" s="1"/>
  <c r="AG19" i="6"/>
  <c r="AJ19" i="6" s="1"/>
  <c r="AK19" i="6" s="1"/>
  <c r="AE19" i="6"/>
  <c r="AB19" i="6"/>
  <c r="S19" i="6"/>
  <c r="V19" i="6" s="1"/>
  <c r="W19" i="6" s="1"/>
  <c r="N19" i="6"/>
  <c r="Q19" i="6" s="1"/>
  <c r="J19" i="6"/>
  <c r="H19" i="6"/>
  <c r="G19" i="6"/>
  <c r="BJ18" i="6"/>
  <c r="BK18" i="6" s="1"/>
  <c r="BG18" i="6"/>
  <c r="BD18" i="6"/>
  <c r="BM18" i="6" s="1"/>
  <c r="AV18" i="6"/>
  <c r="AW18" i="6" s="1"/>
  <c r="AS18" i="6"/>
  <c r="AN18" i="6"/>
  <c r="AQ18" i="6" s="1"/>
  <c r="AG18" i="6"/>
  <c r="AJ18" i="6" s="1"/>
  <c r="AK18" i="6" s="1"/>
  <c r="AB18" i="6"/>
  <c r="AE18" i="6" s="1"/>
  <c r="S18" i="6"/>
  <c r="V18" i="6" s="1"/>
  <c r="Q18" i="6"/>
  <c r="N18" i="6"/>
  <c r="H18" i="6"/>
  <c r="G18" i="6"/>
  <c r="J18" i="6" s="1"/>
  <c r="BG17" i="6"/>
  <c r="BJ17" i="6" s="1"/>
  <c r="BJ11" i="6" s="1"/>
  <c r="AV17" i="6"/>
  <c r="AW17" i="6" s="1"/>
  <c r="AS17" i="6"/>
  <c r="AM17" i="6"/>
  <c r="AN17" i="6" s="1"/>
  <c r="AQ17" i="6" s="1"/>
  <c r="AK17" i="6"/>
  <c r="AH17" i="6"/>
  <c r="AG17" i="6"/>
  <c r="AJ17" i="6" s="1"/>
  <c r="AE17" i="6"/>
  <c r="AC17" i="6"/>
  <c r="AB17" i="6"/>
  <c r="V17" i="6"/>
  <c r="T17" i="6"/>
  <c r="S17" i="6"/>
  <c r="O17" i="6"/>
  <c r="M17" i="6"/>
  <c r="N17" i="6" s="1"/>
  <c r="BD17" i="6" s="1"/>
  <c r="J17" i="6"/>
  <c r="G17" i="6"/>
  <c r="H17" i="6" s="1"/>
  <c r="BG16" i="6"/>
  <c r="BJ16" i="6" s="1"/>
  <c r="AS16" i="6"/>
  <c r="AV16" i="6" s="1"/>
  <c r="AN16" i="6"/>
  <c r="AQ16" i="6" s="1"/>
  <c r="AM16" i="6"/>
  <c r="AJ16" i="6"/>
  <c r="AK16" i="6" s="1"/>
  <c r="AG16" i="6"/>
  <c r="AB16" i="6"/>
  <c r="AE16" i="6" s="1"/>
  <c r="V16" i="6"/>
  <c r="W16" i="6" s="1"/>
  <c r="S16" i="6"/>
  <c r="N16" i="6"/>
  <c r="Q16" i="6" s="1"/>
  <c r="K16" i="6"/>
  <c r="G16" i="6"/>
  <c r="BJ15" i="6"/>
  <c r="BK15" i="6" s="1"/>
  <c r="BG15" i="6"/>
  <c r="BD15" i="6"/>
  <c r="BM15" i="6" s="1"/>
  <c r="AV15" i="6"/>
  <c r="AW15" i="6" s="1"/>
  <c r="AS15" i="6"/>
  <c r="AN15" i="6"/>
  <c r="AQ15" i="6" s="1"/>
  <c r="AG15" i="6"/>
  <c r="AJ15" i="6" s="1"/>
  <c r="AB15" i="6"/>
  <c r="AE15" i="6" s="1"/>
  <c r="S15" i="6"/>
  <c r="V15" i="6" s="1"/>
  <c r="Q15" i="6"/>
  <c r="N15" i="6"/>
  <c r="H15" i="6"/>
  <c r="G15" i="6"/>
  <c r="J15" i="6" s="1"/>
  <c r="BJ14" i="6"/>
  <c r="BK14" i="6" s="1"/>
  <c r="BG14" i="6"/>
  <c r="AV14" i="6"/>
  <c r="AW14" i="6" s="1"/>
  <c r="AS14" i="6"/>
  <c r="AN14" i="6"/>
  <c r="AQ14" i="6" s="1"/>
  <c r="AH14" i="6"/>
  <c r="AG14" i="6"/>
  <c r="AJ14" i="6" s="1"/>
  <c r="AK14" i="6" s="1"/>
  <c r="AE14" i="6"/>
  <c r="AC14" i="6"/>
  <c r="AB14" i="6"/>
  <c r="V14" i="6"/>
  <c r="W14" i="6" s="1"/>
  <c r="T14" i="6"/>
  <c r="S14" i="6"/>
  <c r="Q14" i="6"/>
  <c r="O14" i="6"/>
  <c r="M14" i="6"/>
  <c r="N14" i="6" s="1"/>
  <c r="BD14" i="6" s="1"/>
  <c r="BM14" i="6" s="1"/>
  <c r="J14" i="6"/>
  <c r="H14" i="6"/>
  <c r="G14" i="6"/>
  <c r="BX13" i="6"/>
  <c r="BX14" i="6" s="1"/>
  <c r="BM13" i="6"/>
  <c r="BG13" i="6"/>
  <c r="BJ13" i="6" s="1"/>
  <c r="BK13" i="6" s="1"/>
  <c r="BD13" i="6"/>
  <c r="AS13" i="6"/>
  <c r="AV13" i="6" s="1"/>
  <c r="AW13" i="6" s="1"/>
  <c r="AQ13" i="6"/>
  <c r="AN13" i="6"/>
  <c r="AG13" i="6"/>
  <c r="AE13" i="6"/>
  <c r="AB13" i="6"/>
  <c r="S13" i="6"/>
  <c r="V13" i="6" s="1"/>
  <c r="N13" i="6"/>
  <c r="Q13" i="6" s="1"/>
  <c r="J13" i="6"/>
  <c r="H13" i="6"/>
  <c r="G13" i="6"/>
  <c r="BI11" i="6"/>
  <c r="BH11" i="6"/>
  <c r="BG11" i="6"/>
  <c r="BC11" i="6"/>
  <c r="BB11" i="6"/>
  <c r="AV11" i="6"/>
  <c r="AU11" i="6"/>
  <c r="AP11" i="6"/>
  <c r="AP10" i="6" s="1"/>
  <c r="AI11" i="6"/>
  <c r="AI10" i="6" s="1"/>
  <c r="AD11" i="6"/>
  <c r="U11" i="6"/>
  <c r="K11" i="6"/>
  <c r="K10" i="6" s="1"/>
  <c r="G11" i="6"/>
  <c r="AD10" i="6"/>
  <c r="U10" i="6"/>
  <c r="I10" i="6"/>
  <c r="S50" i="3"/>
  <c r="AQ11" i="6" l="1"/>
  <c r="AQ10" i="6" s="1"/>
  <c r="AW16" i="6"/>
  <c r="W13" i="6"/>
  <c r="V11" i="6"/>
  <c r="V10" i="6" s="1"/>
  <c r="AK15" i="6"/>
  <c r="AK26" i="6"/>
  <c r="AK25" i="6" s="1"/>
  <c r="N11" i="6"/>
  <c r="N10" i="6" s="1"/>
  <c r="AJ13" i="6"/>
  <c r="AG11" i="6"/>
  <c r="AG10" i="6" s="1"/>
  <c r="J22" i="6"/>
  <c r="J10" i="6" s="1"/>
  <c r="H22" i="6"/>
  <c r="AN25" i="6"/>
  <c r="AQ26" i="6"/>
  <c r="AQ25" i="6" s="1"/>
  <c r="AW28" i="6"/>
  <c r="AW30" i="6"/>
  <c r="Q32" i="6"/>
  <c r="BD32" i="6"/>
  <c r="W32" i="6"/>
  <c r="AW34" i="6"/>
  <c r="AK37" i="6"/>
  <c r="S11" i="6"/>
  <c r="AN11" i="6"/>
  <c r="AN10" i="6" s="1"/>
  <c r="W15" i="6"/>
  <c r="AS11" i="6"/>
  <c r="AS10" i="6" s="1"/>
  <c r="W18" i="6"/>
  <c r="BM20" i="6"/>
  <c r="AK21" i="6"/>
  <c r="BD21" i="6"/>
  <c r="BK22" i="6"/>
  <c r="BM22" i="6"/>
  <c r="Q23" i="6"/>
  <c r="BD23" i="6"/>
  <c r="W23" i="6"/>
  <c r="W24" i="6"/>
  <c r="AW26" i="6"/>
  <c r="AV25" i="6"/>
  <c r="W27" i="6"/>
  <c r="AK28" i="6"/>
  <c r="AK30" i="6"/>
  <c r="BM17" i="6"/>
  <c r="BK17" i="6"/>
  <c r="BJ25" i="6"/>
  <c r="BJ10" i="6" s="1"/>
  <c r="AB11" i="6"/>
  <c r="AE11" i="6"/>
  <c r="AE10" i="6" s="1"/>
  <c r="Q26" i="6"/>
  <c r="BD26" i="6"/>
  <c r="N25" i="6"/>
  <c r="Q29" i="6"/>
  <c r="W29" i="6" s="1"/>
  <c r="BD29" i="6"/>
  <c r="BM31" i="6"/>
  <c r="BK31" i="6"/>
  <c r="W33" i="6"/>
  <c r="BD16" i="6"/>
  <c r="P17" i="6"/>
  <c r="AW21" i="6"/>
  <c r="AW11" i="6" s="1"/>
  <c r="W26" i="6"/>
  <c r="AK27" i="6"/>
  <c r="P21" i="6"/>
  <c r="Q21" i="6" s="1"/>
  <c r="W21" i="6" s="1"/>
  <c r="S25" i="6"/>
  <c r="H26" i="6"/>
  <c r="AE26" i="6"/>
  <c r="AE25" i="6" s="1"/>
  <c r="H27" i="6"/>
  <c r="J28" i="6"/>
  <c r="J30" i="6"/>
  <c r="AJ25" i="6"/>
  <c r="BG25" i="6"/>
  <c r="BG10" i="6" s="1"/>
  <c r="BD27" i="6"/>
  <c r="J34" i="6"/>
  <c r="BD34" i="6"/>
  <c r="J38" i="6"/>
  <c r="AW39" i="6"/>
  <c r="J41" i="6"/>
  <c r="H41" i="6"/>
  <c r="V40" i="6"/>
  <c r="W41" i="6"/>
  <c r="AK43" i="6"/>
  <c r="BM46" i="6"/>
  <c r="BK46" i="6"/>
  <c r="W50" i="6"/>
  <c r="W51" i="6"/>
  <c r="AW53" i="6"/>
  <c r="AK54" i="6"/>
  <c r="AW55" i="6"/>
  <c r="W57" i="6"/>
  <c r="BD33" i="6"/>
  <c r="BD37" i="6"/>
  <c r="BM39" i="6"/>
  <c r="BK39" i="6"/>
  <c r="BM42" i="6"/>
  <c r="BK42" i="6"/>
  <c r="BD48" i="6"/>
  <c r="Q48" i="6"/>
  <c r="W48" i="6"/>
  <c r="BM53" i="6"/>
  <c r="BK53" i="6"/>
  <c r="BM56" i="6"/>
  <c r="BK56" i="6"/>
  <c r="H33" i="6"/>
  <c r="H35" i="6"/>
  <c r="Q38" i="6"/>
  <c r="W38" i="6" s="1"/>
  <c r="Q41" i="6"/>
  <c r="N40" i="6"/>
  <c r="AJ40" i="6"/>
  <c r="AK41" i="6"/>
  <c r="AK40" i="6" s="1"/>
  <c r="AW41" i="6"/>
  <c r="BM51" i="6"/>
  <c r="BK51" i="6"/>
  <c r="AK51" i="6"/>
  <c r="W53" i="6"/>
  <c r="W55" i="6"/>
  <c r="BK38" i="6"/>
  <c r="BD41" i="6"/>
  <c r="W44" i="6"/>
  <c r="AW46" i="6"/>
  <c r="AK47" i="6"/>
  <c r="BD49" i="6"/>
  <c r="Q49" i="6"/>
  <c r="W49" i="6"/>
  <c r="AW49" i="6"/>
  <c r="BM50" i="6"/>
  <c r="BK50" i="6"/>
  <c r="BM52" i="6"/>
  <c r="BK52" i="6"/>
  <c r="AW52" i="6"/>
  <c r="BM54" i="6"/>
  <c r="BK54" i="6"/>
  <c r="Q58" i="6"/>
  <c r="W58" i="6" s="1"/>
  <c r="BD58" i="6"/>
  <c r="S40" i="6"/>
  <c r="AB40" i="6"/>
  <c r="Q42" i="6"/>
  <c r="W42" i="6" s="1"/>
  <c r="AV42" i="6"/>
  <c r="BJ42" i="6"/>
  <c r="BJ40" i="6" s="1"/>
  <c r="H43" i="6"/>
  <c r="BK43" i="6"/>
  <c r="BD44" i="6"/>
  <c r="Q46" i="6"/>
  <c r="W46" i="6" s="1"/>
  <c r="H47" i="6"/>
  <c r="BK47" i="6"/>
  <c r="H50" i="6"/>
  <c r="Q50" i="6"/>
  <c r="H51" i="6"/>
  <c r="Q52" i="6"/>
  <c r="W52" i="6" s="1"/>
  <c r="Q53" i="6"/>
  <c r="H54" i="6"/>
  <c r="BD55" i="6"/>
  <c r="BD57" i="6"/>
  <c r="Q51" i="6"/>
  <c r="BK45" i="6"/>
  <c r="BK59" i="6"/>
  <c r="AQ52" i="3"/>
  <c r="AW10" i="6" l="1"/>
  <c r="AW7" i="6" s="1"/>
  <c r="W25" i="6"/>
  <c r="BK55" i="6"/>
  <c r="BM55" i="6"/>
  <c r="BM48" i="6"/>
  <c r="BK48" i="6"/>
  <c r="P11" i="6"/>
  <c r="P10" i="6" s="1"/>
  <c r="BM26" i="6"/>
  <c r="BK26" i="6"/>
  <c r="BD25" i="6"/>
  <c r="AW25" i="6"/>
  <c r="S10" i="6"/>
  <c r="BK32" i="6"/>
  <c r="BM32" i="6"/>
  <c r="BM33" i="6"/>
  <c r="BK33" i="6"/>
  <c r="BK44" i="6"/>
  <c r="BM44" i="6"/>
  <c r="AW42" i="6"/>
  <c r="AV40" i="6"/>
  <c r="AV10" i="6" s="1"/>
  <c r="BK58" i="6"/>
  <c r="BM58" i="6"/>
  <c r="BM49" i="6"/>
  <c r="BK49" i="6"/>
  <c r="BK41" i="6"/>
  <c r="BD40" i="6"/>
  <c r="BM41" i="6"/>
  <c r="AW40" i="6"/>
  <c r="Q40" i="6"/>
  <c r="BK34" i="6"/>
  <c r="BM34" i="6"/>
  <c r="BD11" i="6"/>
  <c r="BM16" i="6"/>
  <c r="BK16" i="6"/>
  <c r="BK29" i="6"/>
  <c r="BM29" i="6"/>
  <c r="Q25" i="6"/>
  <c r="Q17" i="6"/>
  <c r="AK13" i="6"/>
  <c r="AK11" i="6" s="1"/>
  <c r="AK10" i="6" s="1"/>
  <c r="AK7" i="6" s="1"/>
  <c r="AJ11" i="6"/>
  <c r="AJ10" i="6" s="1"/>
  <c r="BM57" i="6"/>
  <c r="BK57" i="6"/>
  <c r="H10" i="6"/>
  <c r="BM37" i="6"/>
  <c r="BK37" i="6"/>
  <c r="W40" i="6"/>
  <c r="BK27" i="6"/>
  <c r="BM27" i="6"/>
  <c r="AB10" i="6"/>
  <c r="BK23" i="6"/>
  <c r="BM23" i="6"/>
  <c r="BK21" i="6"/>
  <c r="BM21" i="6"/>
  <c r="AR42" i="3"/>
  <c r="AR43" i="3"/>
  <c r="AU43" i="3" s="1"/>
  <c r="AR44" i="3"/>
  <c r="AU44" i="3" s="1"/>
  <c r="AR45" i="3"/>
  <c r="AR46" i="3"/>
  <c r="AU46" i="3" s="1"/>
  <c r="AR47" i="3"/>
  <c r="AU47" i="3" s="1"/>
  <c r="AR48" i="3"/>
  <c r="AU48" i="3" s="1"/>
  <c r="AR50" i="3"/>
  <c r="AR53" i="3"/>
  <c r="AU53" i="3" s="1"/>
  <c r="AR54" i="3"/>
  <c r="AU54" i="3" s="1"/>
  <c r="AR55" i="3"/>
  <c r="AU55" i="3" s="1"/>
  <c r="AR57" i="3"/>
  <c r="AR59" i="3"/>
  <c r="AU59" i="3" s="1"/>
  <c r="AQ58" i="3"/>
  <c r="AR58" i="3" s="1"/>
  <c r="AQ56" i="3"/>
  <c r="AR56" i="3" s="1"/>
  <c r="AU56" i="3" s="1"/>
  <c r="AR52" i="3"/>
  <c r="AQ51" i="3"/>
  <c r="AR51" i="3" s="1"/>
  <c r="AU51" i="3" s="1"/>
  <c r="AQ49" i="3"/>
  <c r="AR49" i="3" s="1"/>
  <c r="AU49" i="3" s="1"/>
  <c r="AQ41" i="3"/>
  <c r="AR41" i="3" s="1"/>
  <c r="AR27" i="3"/>
  <c r="AR28" i="3"/>
  <c r="AR30" i="3"/>
  <c r="AU30" i="3" s="1"/>
  <c r="AR34" i="3"/>
  <c r="AU34" i="3" s="1"/>
  <c r="AR35" i="3"/>
  <c r="AR36" i="3"/>
  <c r="AU36" i="3" s="1"/>
  <c r="AR37" i="3"/>
  <c r="AU37" i="3" s="1"/>
  <c r="AR38" i="3"/>
  <c r="AU38" i="3" s="1"/>
  <c r="AR39" i="3"/>
  <c r="AQ33" i="3"/>
  <c r="AR33" i="3" s="1"/>
  <c r="AU33" i="3" s="1"/>
  <c r="AR32" i="3"/>
  <c r="AU32" i="3" s="1"/>
  <c r="AQ31" i="3"/>
  <c r="AQ29" i="3"/>
  <c r="AR29" i="3" s="1"/>
  <c r="AU29" i="3" s="1"/>
  <c r="AQ26" i="3"/>
  <c r="AR26" i="3" s="1"/>
  <c r="AR14" i="3"/>
  <c r="AR15" i="3"/>
  <c r="AU15" i="3" s="1"/>
  <c r="AR18" i="3"/>
  <c r="AR19" i="3"/>
  <c r="AU19" i="3" s="1"/>
  <c r="AR20" i="3"/>
  <c r="AU20" i="3" s="1"/>
  <c r="AR21" i="3"/>
  <c r="AU21" i="3" s="1"/>
  <c r="AR22" i="3"/>
  <c r="AR23" i="3"/>
  <c r="AR13" i="3"/>
  <c r="AU13" i="3" s="1"/>
  <c r="AQ24" i="3"/>
  <c r="AR24" i="3" s="1"/>
  <c r="AU24" i="3" s="1"/>
  <c r="AR17" i="3"/>
  <c r="AQ16" i="3"/>
  <c r="AR16" i="3" s="1"/>
  <c r="AU16" i="3" s="1"/>
  <c r="AW59" i="3"/>
  <c r="AZ59" i="3" s="1"/>
  <c r="AW58" i="3"/>
  <c r="AZ58" i="3" s="1"/>
  <c r="AZ57" i="3"/>
  <c r="AU57" i="3"/>
  <c r="AW56" i="3"/>
  <c r="AZ56" i="3" s="1"/>
  <c r="AW55" i="3"/>
  <c r="AZ55" i="3" s="1"/>
  <c r="AW54" i="3"/>
  <c r="AZ54" i="3" s="1"/>
  <c r="AW53" i="3"/>
  <c r="AZ53" i="3" s="1"/>
  <c r="AW52" i="3"/>
  <c r="AZ52" i="3" s="1"/>
  <c r="AW51" i="3"/>
  <c r="AZ51" i="3" s="1"/>
  <c r="AW50" i="3"/>
  <c r="AZ50" i="3" s="1"/>
  <c r="AU50" i="3"/>
  <c r="AW49" i="3"/>
  <c r="AZ49" i="3" s="1"/>
  <c r="AW48" i="3"/>
  <c r="AZ48" i="3" s="1"/>
  <c r="AW47" i="3"/>
  <c r="AZ47" i="3" s="1"/>
  <c r="AW46" i="3"/>
  <c r="AZ46" i="3" s="1"/>
  <c r="AW45" i="3"/>
  <c r="AZ45" i="3" s="1"/>
  <c r="AU45" i="3"/>
  <c r="AW44" i="3"/>
  <c r="AZ44" i="3" s="1"/>
  <c r="AW43" i="3"/>
  <c r="AW42" i="3"/>
  <c r="AZ42" i="3" s="1"/>
  <c r="AU42" i="3"/>
  <c r="AW41" i="3"/>
  <c r="AZ41" i="3" s="1"/>
  <c r="AY40" i="3"/>
  <c r="AT40" i="3"/>
  <c r="AW39" i="3"/>
  <c r="AZ39" i="3" s="1"/>
  <c r="AU39" i="3"/>
  <c r="AW38" i="3"/>
  <c r="AZ38" i="3" s="1"/>
  <c r="AW37" i="3"/>
  <c r="AZ37" i="3" s="1"/>
  <c r="AW36" i="3"/>
  <c r="AZ36" i="3" s="1"/>
  <c r="AW35" i="3"/>
  <c r="AZ35" i="3" s="1"/>
  <c r="AU35" i="3"/>
  <c r="AW34" i="3"/>
  <c r="AZ34" i="3" s="1"/>
  <c r="AW33" i="3"/>
  <c r="AZ33" i="3" s="1"/>
  <c r="AW32" i="3"/>
  <c r="AZ32" i="3" s="1"/>
  <c r="AW31" i="3"/>
  <c r="AZ31" i="3" s="1"/>
  <c r="AW30" i="3"/>
  <c r="AZ30" i="3" s="1"/>
  <c r="AW29" i="3"/>
  <c r="AZ29" i="3" s="1"/>
  <c r="AW28" i="3"/>
  <c r="AZ28" i="3" s="1"/>
  <c r="AU28" i="3"/>
  <c r="AW27" i="3"/>
  <c r="AZ27" i="3" s="1"/>
  <c r="AU27" i="3"/>
  <c r="AW26" i="3"/>
  <c r="AZ26" i="3" s="1"/>
  <c r="AY25" i="3"/>
  <c r="AT25" i="3"/>
  <c r="AW24" i="3"/>
  <c r="AZ24" i="3" s="1"/>
  <c r="AW23" i="3"/>
  <c r="AZ23" i="3" s="1"/>
  <c r="AU23" i="3"/>
  <c r="AW22" i="3"/>
  <c r="AZ22" i="3" s="1"/>
  <c r="AU22" i="3"/>
  <c r="AW21" i="3"/>
  <c r="AZ21" i="3" s="1"/>
  <c r="AW20" i="3"/>
  <c r="AZ20" i="3" s="1"/>
  <c r="AW19" i="3"/>
  <c r="AZ19" i="3" s="1"/>
  <c r="AW18" i="3"/>
  <c r="AZ18" i="3" s="1"/>
  <c r="AU18" i="3"/>
  <c r="AW17" i="3"/>
  <c r="AZ17" i="3" s="1"/>
  <c r="AW16" i="3"/>
  <c r="AZ16" i="3" s="1"/>
  <c r="AW15" i="3"/>
  <c r="AZ15" i="3" s="1"/>
  <c r="AW14" i="3"/>
  <c r="AZ14" i="3" s="1"/>
  <c r="AU14" i="3"/>
  <c r="AW13" i="3"/>
  <c r="AZ13" i="3" s="1"/>
  <c r="AY11" i="3"/>
  <c r="AT11" i="3"/>
  <c r="AT10" i="3" s="1"/>
  <c r="T57" i="3"/>
  <c r="W57" i="3" s="1"/>
  <c r="AK59" i="3"/>
  <c r="AN59" i="3" s="1"/>
  <c r="AF59" i="3"/>
  <c r="AI59" i="3" s="1"/>
  <c r="AL58" i="3"/>
  <c r="AK58" i="3"/>
  <c r="AN58" i="3" s="1"/>
  <c r="AG58" i="3"/>
  <c r="AF58" i="3"/>
  <c r="AI58" i="3" s="1"/>
  <c r="AN57" i="3"/>
  <c r="AI57" i="3"/>
  <c r="AL56" i="3"/>
  <c r="AK56" i="3"/>
  <c r="AN56" i="3" s="1"/>
  <c r="AG56" i="3"/>
  <c r="AF56" i="3"/>
  <c r="AI56" i="3" s="1"/>
  <c r="AK55" i="3"/>
  <c r="AN55" i="3" s="1"/>
  <c r="AF55" i="3"/>
  <c r="AI55" i="3" s="1"/>
  <c r="AK54" i="3"/>
  <c r="AN54" i="3" s="1"/>
  <c r="AF54" i="3"/>
  <c r="AI54" i="3" s="1"/>
  <c r="AK53" i="3"/>
  <c r="AN53" i="3" s="1"/>
  <c r="AF53" i="3"/>
  <c r="AI53" i="3" s="1"/>
  <c r="AK52" i="3"/>
  <c r="AN52" i="3" s="1"/>
  <c r="AF52" i="3"/>
  <c r="AI52" i="3" s="1"/>
  <c r="AL51" i="3"/>
  <c r="AK51" i="3"/>
  <c r="AN51" i="3" s="1"/>
  <c r="AG51" i="3"/>
  <c r="AF51" i="3"/>
  <c r="AI51" i="3" s="1"/>
  <c r="AK50" i="3"/>
  <c r="AN50" i="3" s="1"/>
  <c r="AF50" i="3"/>
  <c r="AI50" i="3" s="1"/>
  <c r="AL49" i="3"/>
  <c r="AK49" i="3"/>
  <c r="AN49" i="3" s="1"/>
  <c r="AG49" i="3"/>
  <c r="AF49" i="3"/>
  <c r="AI49" i="3" s="1"/>
  <c r="AL48" i="3"/>
  <c r="AK48" i="3"/>
  <c r="AN48" i="3" s="1"/>
  <c r="AG48" i="3"/>
  <c r="AF48" i="3"/>
  <c r="AI48" i="3" s="1"/>
  <c r="AK47" i="3"/>
  <c r="AN47" i="3" s="1"/>
  <c r="AF47" i="3"/>
  <c r="AI47" i="3" s="1"/>
  <c r="AK46" i="3"/>
  <c r="AN46" i="3" s="1"/>
  <c r="AF46" i="3"/>
  <c r="AI46" i="3" s="1"/>
  <c r="AK45" i="3"/>
  <c r="AN45" i="3" s="1"/>
  <c r="AF45" i="3"/>
  <c r="AI45" i="3" s="1"/>
  <c r="AK44" i="3"/>
  <c r="AN44" i="3" s="1"/>
  <c r="AF44" i="3"/>
  <c r="AI44" i="3" s="1"/>
  <c r="AK43" i="3"/>
  <c r="AN43" i="3" s="1"/>
  <c r="AF43" i="3"/>
  <c r="AI43" i="3" s="1"/>
  <c r="AK42" i="3"/>
  <c r="AN42" i="3" s="1"/>
  <c r="AF42" i="3"/>
  <c r="AI42" i="3" s="1"/>
  <c r="AL41" i="3"/>
  <c r="AK41" i="3"/>
  <c r="AN41" i="3" s="1"/>
  <c r="AG41" i="3"/>
  <c r="AF41" i="3"/>
  <c r="AM40" i="3"/>
  <c r="AH40" i="3"/>
  <c r="AK39" i="3"/>
  <c r="AN39" i="3" s="1"/>
  <c r="AF39" i="3"/>
  <c r="AI39" i="3" s="1"/>
  <c r="AK38" i="3"/>
  <c r="AN38" i="3" s="1"/>
  <c r="AF38" i="3"/>
  <c r="AI38" i="3" s="1"/>
  <c r="AK37" i="3"/>
  <c r="AN37" i="3" s="1"/>
  <c r="AF37" i="3"/>
  <c r="AI37" i="3" s="1"/>
  <c r="AK36" i="3"/>
  <c r="AN36" i="3" s="1"/>
  <c r="AF36" i="3"/>
  <c r="AI36" i="3" s="1"/>
  <c r="AK35" i="3"/>
  <c r="AN35" i="3" s="1"/>
  <c r="AF35" i="3"/>
  <c r="AI35" i="3" s="1"/>
  <c r="AK34" i="3"/>
  <c r="AN34" i="3" s="1"/>
  <c r="AF34" i="3"/>
  <c r="AI34" i="3" s="1"/>
  <c r="AL33" i="3"/>
  <c r="AK33" i="3"/>
  <c r="AN33" i="3" s="1"/>
  <c r="AG33" i="3"/>
  <c r="AF33" i="3"/>
  <c r="AI33" i="3" s="1"/>
  <c r="AL32" i="3"/>
  <c r="AK32" i="3"/>
  <c r="AN32" i="3" s="1"/>
  <c r="AG32" i="3"/>
  <c r="AF32" i="3"/>
  <c r="AI32" i="3" s="1"/>
  <c r="AL31" i="3"/>
  <c r="AK31" i="3"/>
  <c r="AN31" i="3" s="1"/>
  <c r="AG31" i="3"/>
  <c r="AF31" i="3"/>
  <c r="AK30" i="3"/>
  <c r="AN30" i="3" s="1"/>
  <c r="AF30" i="3"/>
  <c r="AI30" i="3" s="1"/>
  <c r="AL29" i="3"/>
  <c r="AK29" i="3"/>
  <c r="AN29" i="3" s="1"/>
  <c r="AG29" i="3"/>
  <c r="AF29" i="3"/>
  <c r="AI29" i="3" s="1"/>
  <c r="AK28" i="3"/>
  <c r="AN28" i="3" s="1"/>
  <c r="AF28" i="3"/>
  <c r="AI28" i="3" s="1"/>
  <c r="AK27" i="3"/>
  <c r="AN27" i="3" s="1"/>
  <c r="AF27" i="3"/>
  <c r="AI27" i="3" s="1"/>
  <c r="AK26" i="3"/>
  <c r="AN26" i="3" s="1"/>
  <c r="AF26" i="3"/>
  <c r="AI26" i="3" s="1"/>
  <c r="AM25" i="3"/>
  <c r="AH25" i="3"/>
  <c r="AL24" i="3"/>
  <c r="AK24" i="3"/>
  <c r="AN24" i="3" s="1"/>
  <c r="AG24" i="3"/>
  <c r="AF24" i="3"/>
  <c r="AI24" i="3" s="1"/>
  <c r="AL23" i="3"/>
  <c r="AK23" i="3"/>
  <c r="AN23" i="3" s="1"/>
  <c r="AG23" i="3"/>
  <c r="AF23" i="3"/>
  <c r="AI23" i="3" s="1"/>
  <c r="AK22" i="3"/>
  <c r="AN22" i="3" s="1"/>
  <c r="AF22" i="3"/>
  <c r="AI22" i="3" s="1"/>
  <c r="AL21" i="3"/>
  <c r="AK21" i="3"/>
  <c r="AN21" i="3" s="1"/>
  <c r="AG21" i="3"/>
  <c r="AF21" i="3"/>
  <c r="AK20" i="3"/>
  <c r="AN20" i="3" s="1"/>
  <c r="AF20" i="3"/>
  <c r="AI20" i="3" s="1"/>
  <c r="AK19" i="3"/>
  <c r="AN19" i="3" s="1"/>
  <c r="AF19" i="3"/>
  <c r="AI19" i="3" s="1"/>
  <c r="AK18" i="3"/>
  <c r="AN18" i="3" s="1"/>
  <c r="AF18" i="3"/>
  <c r="AI18" i="3" s="1"/>
  <c r="AL17" i="3"/>
  <c r="AK17" i="3"/>
  <c r="AN17" i="3" s="1"/>
  <c r="AG17" i="3"/>
  <c r="AF17" i="3"/>
  <c r="AK16" i="3"/>
  <c r="AN16" i="3" s="1"/>
  <c r="AF16" i="3"/>
  <c r="AI16" i="3" s="1"/>
  <c r="AK15" i="3"/>
  <c r="AN15" i="3" s="1"/>
  <c r="AF15" i="3"/>
  <c r="AI15" i="3" s="1"/>
  <c r="AL14" i="3"/>
  <c r="AK14" i="3"/>
  <c r="AN14" i="3" s="1"/>
  <c r="AG14" i="3"/>
  <c r="AF14" i="3"/>
  <c r="AK13" i="3"/>
  <c r="AN13" i="3" s="1"/>
  <c r="AM11" i="3"/>
  <c r="Y59" i="3"/>
  <c r="AB59" i="3" s="1"/>
  <c r="Z58" i="3"/>
  <c r="Y58" i="3"/>
  <c r="AB58" i="3" s="1"/>
  <c r="AB57" i="3"/>
  <c r="Z56" i="3"/>
  <c r="Y56" i="3"/>
  <c r="AB56" i="3" s="1"/>
  <c r="Y55" i="3"/>
  <c r="AB55" i="3" s="1"/>
  <c r="Y54" i="3"/>
  <c r="AB54" i="3" s="1"/>
  <c r="Y53" i="3"/>
  <c r="AB53" i="3" s="1"/>
  <c r="Y52" i="3"/>
  <c r="AB52" i="3" s="1"/>
  <c r="Z51" i="3"/>
  <c r="Y51" i="3"/>
  <c r="AB51" i="3" s="1"/>
  <c r="Y50" i="3"/>
  <c r="AB50" i="3" s="1"/>
  <c r="Z49" i="3"/>
  <c r="Y49" i="3"/>
  <c r="AB49" i="3" s="1"/>
  <c r="Z48" i="3"/>
  <c r="Y48" i="3"/>
  <c r="AB48" i="3" s="1"/>
  <c r="Y47" i="3"/>
  <c r="AB47" i="3" s="1"/>
  <c r="Y46" i="3"/>
  <c r="AB46" i="3" s="1"/>
  <c r="Y45" i="3"/>
  <c r="AB45" i="3" s="1"/>
  <c r="Y44" i="3"/>
  <c r="AB44" i="3" s="1"/>
  <c r="Y43" i="3"/>
  <c r="AB43" i="3" s="1"/>
  <c r="Y42" i="3"/>
  <c r="AB42" i="3" s="1"/>
  <c r="Z41" i="3"/>
  <c r="Y41" i="3"/>
  <c r="AA40" i="3"/>
  <c r="Y39" i="3"/>
  <c r="AB39" i="3" s="1"/>
  <c r="Y38" i="3"/>
  <c r="AB38" i="3" s="1"/>
  <c r="Y37" i="3"/>
  <c r="AB37" i="3" s="1"/>
  <c r="Y36" i="3"/>
  <c r="AB36" i="3" s="1"/>
  <c r="Y35" i="3"/>
  <c r="AB35" i="3" s="1"/>
  <c r="Y34" i="3"/>
  <c r="AB34" i="3" s="1"/>
  <c r="Z33" i="3"/>
  <c r="Y33" i="3"/>
  <c r="AB33" i="3" s="1"/>
  <c r="Z32" i="3"/>
  <c r="Y32" i="3"/>
  <c r="AB32" i="3" s="1"/>
  <c r="Z31" i="3"/>
  <c r="Y31" i="3"/>
  <c r="AB31" i="3" s="1"/>
  <c r="Y30" i="3"/>
  <c r="AB30" i="3" s="1"/>
  <c r="Z29" i="3"/>
  <c r="Y29" i="3"/>
  <c r="AB29" i="3" s="1"/>
  <c r="Y28" i="3"/>
  <c r="AB28" i="3" s="1"/>
  <c r="Y27" i="3"/>
  <c r="AB27" i="3" s="1"/>
  <c r="Y26" i="3"/>
  <c r="AB26" i="3" s="1"/>
  <c r="AA25" i="3"/>
  <c r="Z24" i="3"/>
  <c r="Y24" i="3"/>
  <c r="AB24" i="3" s="1"/>
  <c r="Z23" i="3"/>
  <c r="Y23" i="3"/>
  <c r="AB23" i="3" s="1"/>
  <c r="Y22" i="3"/>
  <c r="AB22" i="3" s="1"/>
  <c r="Z21" i="3"/>
  <c r="Y21" i="3"/>
  <c r="Y20" i="3"/>
  <c r="AB20" i="3" s="1"/>
  <c r="Y19" i="3"/>
  <c r="AB19" i="3" s="1"/>
  <c r="Y18" i="3"/>
  <c r="AB18" i="3" s="1"/>
  <c r="Z17" i="3"/>
  <c r="Y17" i="3"/>
  <c r="Y16" i="3"/>
  <c r="AB16" i="3" s="1"/>
  <c r="Y15" i="3"/>
  <c r="AB15" i="3" s="1"/>
  <c r="Z14" i="3"/>
  <c r="Y14" i="3"/>
  <c r="AB14" i="3" s="1"/>
  <c r="Y13" i="3"/>
  <c r="AB13" i="3" s="1"/>
  <c r="U14" i="3"/>
  <c r="U17" i="3"/>
  <c r="U21" i="3"/>
  <c r="U23" i="3"/>
  <c r="U24" i="3"/>
  <c r="U29" i="3"/>
  <c r="U31" i="3"/>
  <c r="U32" i="3"/>
  <c r="U33" i="3"/>
  <c r="U41" i="3"/>
  <c r="U48" i="3"/>
  <c r="U49" i="3"/>
  <c r="U51" i="3"/>
  <c r="U56" i="3"/>
  <c r="U58" i="3"/>
  <c r="BD10" i="6" l="1"/>
  <c r="BD8" i="6" s="1"/>
  <c r="BM25" i="6"/>
  <c r="BM40" i="6"/>
  <c r="Q11" i="6"/>
  <c r="Q10" i="6" s="1"/>
  <c r="W17" i="6"/>
  <c r="W11" i="6" s="1"/>
  <c r="W10" i="6" s="1"/>
  <c r="W7" i="6" s="1"/>
  <c r="BK11" i="6"/>
  <c r="BK10" i="6" s="1"/>
  <c r="BM11" i="6"/>
  <c r="BK40" i="6"/>
  <c r="BK25" i="6"/>
  <c r="AO46" i="3"/>
  <c r="AW11" i="3"/>
  <c r="AO33" i="3"/>
  <c r="AO43" i="3"/>
  <c r="AK25" i="3"/>
  <c r="AO54" i="3"/>
  <c r="AO57" i="3"/>
  <c r="AY10" i="3"/>
  <c r="AW40" i="3"/>
  <c r="AO37" i="3"/>
  <c r="AO44" i="3"/>
  <c r="AO50" i="3"/>
  <c r="AC57" i="3"/>
  <c r="AO15" i="3"/>
  <c r="AO19" i="3"/>
  <c r="AU58" i="3"/>
  <c r="BA37" i="3"/>
  <c r="AK40" i="3"/>
  <c r="BA50" i="3"/>
  <c r="AU17" i="3"/>
  <c r="BA17" i="3" s="1"/>
  <c r="AR31" i="3"/>
  <c r="AU31" i="3" s="1"/>
  <c r="BA55" i="3"/>
  <c r="BA46" i="3"/>
  <c r="BA57" i="3"/>
  <c r="AU52" i="3"/>
  <c r="BA52" i="3" s="1"/>
  <c r="AR40" i="3"/>
  <c r="BA44" i="3"/>
  <c r="BA58" i="3"/>
  <c r="BA48" i="3"/>
  <c r="BA49" i="3"/>
  <c r="BA51" i="3"/>
  <c r="AU41" i="3"/>
  <c r="BA41" i="3" s="1"/>
  <c r="BA54" i="3"/>
  <c r="BA34" i="3"/>
  <c r="AU26" i="3"/>
  <c r="BA26" i="3" s="1"/>
  <c r="BA32" i="3"/>
  <c r="BA33" i="3"/>
  <c r="BA39" i="3"/>
  <c r="BA28" i="3"/>
  <c r="BA30" i="3"/>
  <c r="BA36" i="3"/>
  <c r="BA14" i="3"/>
  <c r="BA20" i="3"/>
  <c r="BA24" i="3"/>
  <c r="BA15" i="3"/>
  <c r="BA22" i="3"/>
  <c r="AZ11" i="3"/>
  <c r="BA13" i="3"/>
  <c r="BA27" i="3"/>
  <c r="BA29" i="3"/>
  <c r="BA35" i="3"/>
  <c r="BA38" i="3"/>
  <c r="BA42" i="3"/>
  <c r="BA47" i="3"/>
  <c r="BA53" i="3"/>
  <c r="BA56" i="3"/>
  <c r="BA16" i="3"/>
  <c r="BA18" i="3"/>
  <c r="BA19" i="3"/>
  <c r="BA21" i="3"/>
  <c r="BA23" i="3"/>
  <c r="BA45" i="3"/>
  <c r="BA59" i="3"/>
  <c r="AZ25" i="3"/>
  <c r="AR11" i="3"/>
  <c r="AW25" i="3"/>
  <c r="AZ43" i="3"/>
  <c r="BA43" i="3" s="1"/>
  <c r="AM10" i="3"/>
  <c r="AO55" i="3"/>
  <c r="AO51" i="3"/>
  <c r="AO59" i="3"/>
  <c r="AO32" i="3"/>
  <c r="AO36" i="3"/>
  <c r="AO39" i="3"/>
  <c r="AO28" i="3"/>
  <c r="AO30" i="3"/>
  <c r="AO18" i="3"/>
  <c r="AO23" i="3"/>
  <c r="AO24" i="3"/>
  <c r="AO22" i="3"/>
  <c r="AO20" i="3"/>
  <c r="AO27" i="3"/>
  <c r="AO29" i="3"/>
  <c r="AO35" i="3"/>
  <c r="AN40" i="3"/>
  <c r="AO42" i="3"/>
  <c r="AO47" i="3"/>
  <c r="AO49" i="3"/>
  <c r="AO53" i="3"/>
  <c r="AO56" i="3"/>
  <c r="AO16" i="3"/>
  <c r="AN25" i="3"/>
  <c r="AO26" i="3"/>
  <c r="AO34" i="3"/>
  <c r="AO52" i="3"/>
  <c r="AO58" i="3"/>
  <c r="AF40" i="3"/>
  <c r="AI41" i="3"/>
  <c r="AI40" i="3" s="1"/>
  <c r="AO48" i="3"/>
  <c r="AN11" i="3"/>
  <c r="AO13" i="3"/>
  <c r="AO38" i="3"/>
  <c r="AO45" i="3"/>
  <c r="AF11" i="3"/>
  <c r="AI14" i="3"/>
  <c r="AO14" i="3" s="1"/>
  <c r="AI31" i="3"/>
  <c r="AI25" i="3" s="1"/>
  <c r="AF25" i="3"/>
  <c r="AK11" i="3"/>
  <c r="AI17" i="3"/>
  <c r="AO17" i="3" s="1"/>
  <c r="AI21" i="3"/>
  <c r="Y25" i="3"/>
  <c r="AB41" i="3"/>
  <c r="Y40" i="3"/>
  <c r="AB25" i="3"/>
  <c r="Y11" i="3"/>
  <c r="V40" i="3"/>
  <c r="AU11" i="3" l="1"/>
  <c r="AK10" i="3"/>
  <c r="AU40" i="3"/>
  <c r="AR25" i="3"/>
  <c r="AR10" i="3" s="1"/>
  <c r="AW10" i="3"/>
  <c r="BM10" i="6"/>
  <c r="AZ40" i="3"/>
  <c r="AU25" i="3"/>
  <c r="BA31" i="3"/>
  <c r="BA25" i="3" s="1"/>
  <c r="BA40" i="3"/>
  <c r="AZ10" i="3"/>
  <c r="BA11" i="3"/>
  <c r="AO21" i="3"/>
  <c r="AO11" i="3" s="1"/>
  <c r="AI11" i="3"/>
  <c r="AI10" i="3" s="1"/>
  <c r="AO41" i="3"/>
  <c r="AO40" i="3" s="1"/>
  <c r="AH11" i="3"/>
  <c r="AH10" i="3" s="1"/>
  <c r="AN10" i="3"/>
  <c r="AO31" i="3"/>
  <c r="AO25" i="3" s="1"/>
  <c r="AF10" i="3"/>
  <c r="AB40" i="3"/>
  <c r="Y10" i="3"/>
  <c r="AB17" i="3"/>
  <c r="AU10" i="3" l="1"/>
  <c r="BA10" i="3"/>
  <c r="BA7" i="3" s="1"/>
  <c r="AO10" i="3"/>
  <c r="AO7" i="3" s="1"/>
  <c r="S23" i="3" l="1"/>
  <c r="S48" i="3"/>
  <c r="S29" i="3"/>
  <c r="S41" i="3" l="1"/>
  <c r="S33" i="3" l="1"/>
  <c r="S14" i="3"/>
  <c r="S49" i="3"/>
  <c r="S24" i="3" l="1"/>
  <c r="S51" i="3" l="1"/>
  <c r="S58" i="3"/>
  <c r="S56" i="3"/>
  <c r="T32" i="3" l="1"/>
  <c r="T21" i="3"/>
  <c r="T22" i="3"/>
  <c r="T23" i="3"/>
  <c r="T24" i="3"/>
  <c r="T26" i="3"/>
  <c r="T27" i="3"/>
  <c r="T28" i="3"/>
  <c r="T29" i="3"/>
  <c r="T30" i="3"/>
  <c r="T31" i="3"/>
  <c r="T33" i="3"/>
  <c r="T34" i="3"/>
  <c r="T35" i="3"/>
  <c r="T36" i="3"/>
  <c r="T37" i="3"/>
  <c r="T38" i="3"/>
  <c r="T39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8" i="3"/>
  <c r="T59" i="3"/>
  <c r="T13" i="3"/>
  <c r="T14" i="3"/>
  <c r="T15" i="3"/>
  <c r="T16" i="3"/>
  <c r="T17" i="3"/>
  <c r="T18" i="3"/>
  <c r="T19" i="3"/>
  <c r="T20" i="3"/>
  <c r="I21" i="3"/>
  <c r="K16" i="3"/>
  <c r="V25" i="3" l="1"/>
  <c r="W18" i="3"/>
  <c r="AC18" i="3" s="1"/>
  <c r="W14" i="3"/>
  <c r="AC14" i="3" s="1"/>
  <c r="W15" i="3"/>
  <c r="AC15" i="3" s="1"/>
  <c r="V17" i="3"/>
  <c r="W17" i="3" s="1"/>
  <c r="AC17" i="3" s="1"/>
  <c r="W13" i="3"/>
  <c r="AC13" i="3" s="1"/>
  <c r="W19" i="3"/>
  <c r="AC19" i="3" s="1"/>
  <c r="W20" i="3"/>
  <c r="AC20" i="3" s="1"/>
  <c r="W16" i="3"/>
  <c r="AC16" i="3" s="1"/>
  <c r="AB21" i="3"/>
  <c r="AA11" i="3"/>
  <c r="AA10" i="3" s="1"/>
  <c r="W53" i="3"/>
  <c r="AC53" i="3" s="1"/>
  <c r="W49" i="3"/>
  <c r="AC49" i="3" s="1"/>
  <c r="W45" i="3"/>
  <c r="AC45" i="3" s="1"/>
  <c r="W41" i="3"/>
  <c r="AC41" i="3" s="1"/>
  <c r="W36" i="3"/>
  <c r="AC36" i="3" s="1"/>
  <c r="W31" i="3"/>
  <c r="AC31" i="3" s="1"/>
  <c r="W27" i="3"/>
  <c r="AC27" i="3" s="1"/>
  <c r="W22" i="3"/>
  <c r="AC22" i="3" s="1"/>
  <c r="W56" i="3"/>
  <c r="AC56" i="3" s="1"/>
  <c r="W48" i="3"/>
  <c r="AC48" i="3" s="1"/>
  <c r="W44" i="3"/>
  <c r="AC44" i="3" s="1"/>
  <c r="W39" i="3"/>
  <c r="AC39" i="3" s="1"/>
  <c r="W35" i="3"/>
  <c r="AC35" i="3" s="1"/>
  <c r="W30" i="3"/>
  <c r="AC30" i="3" s="1"/>
  <c r="W26" i="3"/>
  <c r="AC26" i="3" s="1"/>
  <c r="V21" i="3"/>
  <c r="V11" i="3" s="1"/>
  <c r="W59" i="3"/>
  <c r="AC59" i="3" s="1"/>
  <c r="W51" i="3"/>
  <c r="AC51" i="3" s="1"/>
  <c r="W47" i="3"/>
  <c r="AC47" i="3" s="1"/>
  <c r="W43" i="3"/>
  <c r="AC43" i="3" s="1"/>
  <c r="W38" i="3"/>
  <c r="AC38" i="3" s="1"/>
  <c r="W34" i="3"/>
  <c r="AC34" i="3" s="1"/>
  <c r="W29" i="3"/>
  <c r="AC29" i="3" s="1"/>
  <c r="W24" i="3"/>
  <c r="AC24" i="3" s="1"/>
  <c r="W32" i="3"/>
  <c r="AC32" i="3" s="1"/>
  <c r="W52" i="3"/>
  <c r="AC52" i="3" s="1"/>
  <c r="W55" i="3"/>
  <c r="AC55" i="3" s="1"/>
  <c r="W58" i="3"/>
  <c r="AC58" i="3" s="1"/>
  <c r="W54" i="3"/>
  <c r="AC54" i="3" s="1"/>
  <c r="W50" i="3"/>
  <c r="AC50" i="3" s="1"/>
  <c r="W46" i="3"/>
  <c r="AC46" i="3" s="1"/>
  <c r="W42" i="3"/>
  <c r="AC42" i="3" s="1"/>
  <c r="W37" i="3"/>
  <c r="AC37" i="3" s="1"/>
  <c r="W33" i="3"/>
  <c r="AC33" i="3" s="1"/>
  <c r="W28" i="3"/>
  <c r="AC28" i="3" s="1"/>
  <c r="W23" i="3"/>
  <c r="AC23" i="3" s="1"/>
  <c r="T25" i="3"/>
  <c r="T40" i="3"/>
  <c r="T11" i="3"/>
  <c r="G59" i="3"/>
  <c r="J59" i="3" s="1"/>
  <c r="G58" i="3"/>
  <c r="H58" i="3" s="1"/>
  <c r="G57" i="3"/>
  <c r="H57" i="3" s="1"/>
  <c r="G56" i="3"/>
  <c r="J56" i="3" s="1"/>
  <c r="G55" i="3"/>
  <c r="J55" i="3" s="1"/>
  <c r="G54" i="3"/>
  <c r="H54" i="3" s="1"/>
  <c r="G53" i="3"/>
  <c r="H53" i="3" s="1"/>
  <c r="G52" i="3"/>
  <c r="J52" i="3" s="1"/>
  <c r="G51" i="3"/>
  <c r="J51" i="3" s="1"/>
  <c r="G50" i="3"/>
  <c r="H50" i="3" s="1"/>
  <c r="G49" i="3"/>
  <c r="H49" i="3" s="1"/>
  <c r="G48" i="3"/>
  <c r="J48" i="3" s="1"/>
  <c r="G47" i="3"/>
  <c r="J47" i="3" s="1"/>
  <c r="G46" i="3"/>
  <c r="H46" i="3" s="1"/>
  <c r="G45" i="3"/>
  <c r="H45" i="3" s="1"/>
  <c r="G44" i="3"/>
  <c r="J44" i="3" s="1"/>
  <c r="G43" i="3"/>
  <c r="J43" i="3" s="1"/>
  <c r="G42" i="3"/>
  <c r="H42" i="3" s="1"/>
  <c r="G41" i="3"/>
  <c r="H41" i="3" s="1"/>
  <c r="K40" i="3"/>
  <c r="I40" i="3"/>
  <c r="G39" i="3"/>
  <c r="H39" i="3" s="1"/>
  <c r="G38" i="3"/>
  <c r="J38" i="3" s="1"/>
  <c r="G37" i="3"/>
  <c r="J37" i="3" s="1"/>
  <c r="G36" i="3"/>
  <c r="J36" i="3" s="1"/>
  <c r="G35" i="3"/>
  <c r="H35" i="3" s="1"/>
  <c r="G34" i="3"/>
  <c r="J34" i="3" s="1"/>
  <c r="G33" i="3"/>
  <c r="J33" i="3" s="1"/>
  <c r="G32" i="3"/>
  <c r="J32" i="3" s="1"/>
  <c r="G31" i="3"/>
  <c r="H31" i="3" s="1"/>
  <c r="G30" i="3"/>
  <c r="J30" i="3" s="1"/>
  <c r="G29" i="3"/>
  <c r="J29" i="3" s="1"/>
  <c r="G28" i="3"/>
  <c r="J28" i="3" s="1"/>
  <c r="G27" i="3"/>
  <c r="H27" i="3" s="1"/>
  <c r="G26" i="3"/>
  <c r="H26" i="3" s="1"/>
  <c r="K25" i="3"/>
  <c r="I25" i="3"/>
  <c r="G24" i="3"/>
  <c r="H24" i="3" s="1"/>
  <c r="G23" i="3"/>
  <c r="J23" i="3" s="1"/>
  <c r="G22" i="3"/>
  <c r="J22" i="3" s="1"/>
  <c r="G21" i="3"/>
  <c r="G20" i="3"/>
  <c r="H20" i="3" s="1"/>
  <c r="G19" i="3"/>
  <c r="H19" i="3" s="1"/>
  <c r="G18" i="3"/>
  <c r="J18" i="3" s="1"/>
  <c r="G17" i="3"/>
  <c r="J17" i="3" s="1"/>
  <c r="G16" i="3"/>
  <c r="G15" i="3"/>
  <c r="J15" i="3" s="1"/>
  <c r="G14" i="3"/>
  <c r="H14" i="3" s="1"/>
  <c r="BN13" i="3"/>
  <c r="BN14" i="3" s="1"/>
  <c r="G13" i="3"/>
  <c r="H13" i="3" s="1"/>
  <c r="K11" i="3"/>
  <c r="I11" i="3"/>
  <c r="G11" i="3"/>
  <c r="V10" i="3" l="1"/>
  <c r="AC25" i="3"/>
  <c r="AB11" i="3"/>
  <c r="AB10" i="3" s="1"/>
  <c r="AC40" i="3"/>
  <c r="W21" i="3"/>
  <c r="AC21" i="3" s="1"/>
  <c r="AC11" i="3" s="1"/>
  <c r="W40" i="3"/>
  <c r="W25" i="3"/>
  <c r="J57" i="3"/>
  <c r="J24" i="3"/>
  <c r="J26" i="3"/>
  <c r="J13" i="3"/>
  <c r="J19" i="3"/>
  <c r="H34" i="3"/>
  <c r="J45" i="3"/>
  <c r="I10" i="3"/>
  <c r="T10" i="3"/>
  <c r="K10" i="3"/>
  <c r="H30" i="3"/>
  <c r="H38" i="3"/>
  <c r="J49" i="3"/>
  <c r="J14" i="3"/>
  <c r="J53" i="3"/>
  <c r="J41" i="3"/>
  <c r="H18" i="3"/>
  <c r="H23" i="3"/>
  <c r="H44" i="3"/>
  <c r="H48" i="3"/>
  <c r="H52" i="3"/>
  <c r="H56" i="3"/>
  <c r="H15" i="3"/>
  <c r="J20" i="3"/>
  <c r="H29" i="3"/>
  <c r="H33" i="3"/>
  <c r="H37" i="3"/>
  <c r="J42" i="3"/>
  <c r="J46" i="3"/>
  <c r="J50" i="3"/>
  <c r="J54" i="3"/>
  <c r="J58" i="3"/>
  <c r="H22" i="3"/>
  <c r="J27" i="3"/>
  <c r="J31" i="3"/>
  <c r="J35" i="3"/>
  <c r="J39" i="3"/>
  <c r="H17" i="3"/>
  <c r="H28" i="3"/>
  <c r="H32" i="3"/>
  <c r="H36" i="3"/>
  <c r="H43" i="3"/>
  <c r="H47" i="3"/>
  <c r="H51" i="3"/>
  <c r="H55" i="3"/>
  <c r="H59" i="3"/>
  <c r="AC10" i="3" l="1"/>
  <c r="AC7" i="3" s="1"/>
  <c r="W11" i="3"/>
  <c r="W10" i="3" s="1"/>
  <c r="J10" i="3"/>
  <c r="H10" i="3"/>
  <c r="G56" i="1"/>
  <c r="K56" i="1" s="1"/>
  <c r="K55" i="1"/>
  <c r="H55" i="1"/>
  <c r="G55" i="1"/>
  <c r="G54" i="1"/>
  <c r="H54" i="1" s="1"/>
  <c r="H53" i="1"/>
  <c r="G53" i="1"/>
  <c r="K53" i="1" s="1"/>
  <c r="K52" i="1"/>
  <c r="G52" i="1"/>
  <c r="H52" i="1" s="1"/>
  <c r="K51" i="1"/>
  <c r="H51" i="1"/>
  <c r="G51" i="1"/>
  <c r="G50" i="1"/>
  <c r="H50" i="1" s="1"/>
  <c r="H49" i="1"/>
  <c r="G49" i="1"/>
  <c r="K49" i="1" s="1"/>
  <c r="K48" i="1"/>
  <c r="G48" i="1"/>
  <c r="H48" i="1" s="1"/>
  <c r="K47" i="1"/>
  <c r="H47" i="1"/>
  <c r="G47" i="1"/>
  <c r="G46" i="1"/>
  <c r="H46" i="1" s="1"/>
  <c r="H45" i="1"/>
  <c r="G45" i="1"/>
  <c r="K45" i="1" s="1"/>
  <c r="K44" i="1"/>
  <c r="G44" i="1"/>
  <c r="H44" i="1" s="1"/>
  <c r="K43" i="1"/>
  <c r="H43" i="1"/>
  <c r="G43" i="1"/>
  <c r="G42" i="1"/>
  <c r="H42" i="1" s="1"/>
  <c r="H41" i="1"/>
  <c r="G41" i="1"/>
  <c r="K41" i="1" s="1"/>
  <c r="K40" i="1"/>
  <c r="G40" i="1"/>
  <c r="H40" i="1" s="1"/>
  <c r="K39" i="1"/>
  <c r="H39" i="1"/>
  <c r="G39" i="1"/>
  <c r="G38" i="1"/>
  <c r="H38" i="1" s="1"/>
  <c r="L37" i="1"/>
  <c r="I37" i="1"/>
  <c r="K36" i="1"/>
  <c r="H36" i="1"/>
  <c r="G36" i="1"/>
  <c r="G35" i="1"/>
  <c r="K35" i="1" s="1"/>
  <c r="H34" i="1"/>
  <c r="G34" i="1"/>
  <c r="K34" i="1" s="1"/>
  <c r="K33" i="1"/>
  <c r="G33" i="1"/>
  <c r="H33" i="1" s="1"/>
  <c r="K32" i="1"/>
  <c r="H32" i="1"/>
  <c r="G32" i="1"/>
  <c r="G31" i="1"/>
  <c r="K31" i="1" s="1"/>
  <c r="H30" i="1"/>
  <c r="G30" i="1"/>
  <c r="K30" i="1" s="1"/>
  <c r="K29" i="1"/>
  <c r="G29" i="1"/>
  <c r="H29" i="1" s="1"/>
  <c r="K28" i="1"/>
  <c r="H28" i="1"/>
  <c r="G28" i="1"/>
  <c r="G27" i="1"/>
  <c r="H27" i="1" s="1"/>
  <c r="H26" i="1"/>
  <c r="G26" i="1"/>
  <c r="K26" i="1" s="1"/>
  <c r="K25" i="1"/>
  <c r="G25" i="1"/>
  <c r="H25" i="1" s="1"/>
  <c r="K24" i="1"/>
  <c r="H24" i="1"/>
  <c r="G24" i="1"/>
  <c r="G23" i="1"/>
  <c r="H23" i="1" s="1"/>
  <c r="L22" i="1"/>
  <c r="I22" i="1"/>
  <c r="K21" i="1"/>
  <c r="H21" i="1"/>
  <c r="G21" i="1"/>
  <c r="G20" i="1"/>
  <c r="K20" i="1" s="1"/>
  <c r="H19" i="1"/>
  <c r="G19" i="1"/>
  <c r="K19" i="1" s="1"/>
  <c r="M18" i="1"/>
  <c r="J18" i="1"/>
  <c r="G18" i="1"/>
  <c r="K17" i="1"/>
  <c r="H17" i="1"/>
  <c r="G17" i="1"/>
  <c r="G16" i="1"/>
  <c r="H16" i="1" s="1"/>
  <c r="H15" i="1"/>
  <c r="G15" i="1"/>
  <c r="K15" i="1" s="1"/>
  <c r="K14" i="1"/>
  <c r="G14" i="1"/>
  <c r="H14" i="1" s="1"/>
  <c r="M13" i="1"/>
  <c r="J13" i="1"/>
  <c r="G13" i="1"/>
  <c r="G12" i="1"/>
  <c r="K12" i="1" s="1"/>
  <c r="G11" i="1"/>
  <c r="H11" i="1" s="1"/>
  <c r="X10" i="1"/>
  <c r="X11" i="1" s="1"/>
  <c r="G10" i="1"/>
  <c r="K10" i="1" s="1"/>
  <c r="L8" i="1"/>
  <c r="I8" i="1"/>
  <c r="I7" i="1" s="1"/>
  <c r="G8" i="1"/>
  <c r="L7" i="1"/>
  <c r="K11" i="1" l="1"/>
  <c r="K7" i="1" s="1"/>
  <c r="K16" i="1"/>
  <c r="K23" i="1"/>
  <c r="K27" i="1"/>
  <c r="K38" i="1"/>
  <c r="K42" i="1"/>
  <c r="K46" i="1"/>
  <c r="K50" i="1"/>
  <c r="K54" i="1"/>
  <c r="H56" i="1"/>
  <c r="H10" i="1"/>
  <c r="H12" i="1"/>
  <c r="H20" i="1"/>
  <c r="H31" i="1"/>
  <c r="H35" i="1"/>
  <c r="G57" i="1"/>
  <c r="H57" i="1" l="1"/>
  <c r="H7" i="1"/>
</calcChain>
</file>

<file path=xl/comments1.xml><?xml version="1.0" encoding="utf-8"?>
<comments xmlns="http://schemas.openxmlformats.org/spreadsheetml/2006/main">
  <authors>
    <author>user</author>
  </authors>
  <commentList>
    <comment ref="A1" authorId="0">
      <text>
        <r>
          <rPr>
            <sz val="8"/>
            <color indexed="81"/>
            <rFont val="Tahoma"/>
            <family val="2"/>
          </rPr>
          <t>during sikat  saka mtg and consultative worksh
op with operations feb 26 2015 at apc</t>
        </r>
      </text>
    </comment>
  </commentList>
</comments>
</file>

<file path=xl/comments2.xml><?xml version="1.0" encoding="utf-8"?>
<comments xmlns="http://schemas.openxmlformats.org/spreadsheetml/2006/main">
  <authors>
    <author>user</author>
    <author>BOHOL APC</author>
  </authors>
  <commentList>
    <comment ref="A1" authorId="0">
      <text>
        <r>
          <rPr>
            <sz val="8"/>
            <color indexed="81"/>
            <rFont val="Tahoma"/>
            <family val="2"/>
          </rPr>
          <t>during sikat  saka mtg and consultative worksh
op with operations feb 26 2015 at apc</t>
        </r>
      </text>
    </comment>
    <comment ref="I16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Loon 36CS</t>
        </r>
      </text>
    </comment>
    <comment ref="K21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Balilihan 13bags hybrid</t>
        </r>
      </text>
    </comment>
    <comment ref="BL21" authorId="1">
      <text>
        <r>
          <rPr>
            <b/>
            <sz val="9"/>
            <color indexed="81"/>
            <rFont val="Tahoma"/>
            <charset val="1"/>
          </rPr>
          <t>BOHOL APC:</t>
        </r>
        <r>
          <rPr>
            <sz val="9"/>
            <color indexed="81"/>
            <rFont val="Tahoma"/>
            <charset val="1"/>
          </rPr>
          <t xml:space="preserve">
pre-masterlist only</t>
        </r>
      </text>
    </comment>
    <comment ref="BL26" authorId="1">
      <text>
        <r>
          <rPr>
            <b/>
            <sz val="9"/>
            <color indexed="81"/>
            <rFont val="Tahoma"/>
            <charset val="1"/>
          </rPr>
          <t>BOHOL APC:</t>
        </r>
        <r>
          <rPr>
            <sz val="9"/>
            <color indexed="81"/>
            <rFont val="Tahoma"/>
            <charset val="1"/>
          </rPr>
          <t xml:space="preserve">
wrong form</t>
        </r>
      </text>
    </comment>
    <comment ref="BL29" authorId="1">
      <text>
        <r>
          <rPr>
            <b/>
            <sz val="9"/>
            <color indexed="81"/>
            <rFont val="Tahoma"/>
            <charset val="1"/>
          </rPr>
          <t>BOHOL APC:</t>
        </r>
        <r>
          <rPr>
            <sz val="9"/>
            <color indexed="81"/>
            <rFont val="Tahoma"/>
            <charset val="1"/>
          </rPr>
          <t xml:space="preserve">
photocopy only</t>
        </r>
      </text>
    </comment>
    <comment ref="BL32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wrong form</t>
        </r>
      </text>
    </comment>
    <comment ref="BL50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no values</t>
        </r>
      </text>
    </comment>
    <comment ref="BL54" authorId="1">
      <text>
        <r>
          <rPr>
            <b/>
            <sz val="9"/>
            <color indexed="81"/>
            <rFont val="Tahoma"/>
            <charset val="1"/>
          </rPr>
          <t>BOHOL APC:</t>
        </r>
        <r>
          <rPr>
            <sz val="9"/>
            <color indexed="81"/>
            <rFont val="Tahoma"/>
            <charset val="1"/>
          </rPr>
          <t xml:space="preserve">
pre-masterlist only</t>
        </r>
      </text>
    </comment>
    <comment ref="BL56" authorId="1">
      <text>
        <r>
          <rPr>
            <b/>
            <sz val="9"/>
            <color indexed="81"/>
            <rFont val="Tahoma"/>
            <charset val="1"/>
          </rPr>
          <t>BOHOL APC:</t>
        </r>
        <r>
          <rPr>
            <sz val="9"/>
            <color indexed="81"/>
            <rFont val="Tahoma"/>
            <charset val="1"/>
          </rPr>
          <t xml:space="preserve">
photocopy</t>
        </r>
      </text>
    </comment>
  </commentList>
</comments>
</file>

<file path=xl/comments3.xml><?xml version="1.0" encoding="utf-8"?>
<comments xmlns="http://schemas.openxmlformats.org/spreadsheetml/2006/main">
  <authors>
    <author>user</author>
    <author>BOHOL APC</author>
  </authors>
  <commentList>
    <comment ref="A1" authorId="0">
      <text>
        <r>
          <rPr>
            <sz val="8"/>
            <color indexed="81"/>
            <rFont val="Tahoma"/>
            <family val="2"/>
          </rPr>
          <t>during sikat  saka mtg and consultative worksh
op with operations feb 26 2015 at apc</t>
        </r>
      </text>
    </comment>
    <comment ref="I16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Loon 36CS</t>
        </r>
      </text>
    </comment>
    <comment ref="K21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Balilihan 13bags hybrid</t>
        </r>
      </text>
    </comment>
  </commentList>
</comments>
</file>

<file path=xl/sharedStrings.xml><?xml version="1.0" encoding="utf-8"?>
<sst xmlns="http://schemas.openxmlformats.org/spreadsheetml/2006/main" count="525" uniqueCount="144">
  <si>
    <t>RECONCILED DATA FOR RICE AREAS (HAS)</t>
  </si>
  <si>
    <t>As of  March 03, 2015</t>
  </si>
  <si>
    <t>Province / District / Municipality</t>
  </si>
  <si>
    <t>Irrigated</t>
  </si>
  <si>
    <t>Rainfed</t>
  </si>
  <si>
    <t>Total</t>
  </si>
  <si>
    <t>inbred 2892</t>
  </si>
  <si>
    <t>hybrid 1670</t>
  </si>
  <si>
    <t>Bohol</t>
  </si>
  <si>
    <t>2358 bags buffer</t>
  </si>
  <si>
    <t>sl8</t>
  </si>
  <si>
    <t>phb 79</t>
  </si>
  <si>
    <t>bigante classic</t>
  </si>
  <si>
    <t>additional</t>
  </si>
  <si>
    <t>I</t>
  </si>
  <si>
    <t>variety</t>
  </si>
  <si>
    <t>nsic 238</t>
  </si>
  <si>
    <t>nsic 218</t>
  </si>
  <si>
    <t>nsic 226</t>
  </si>
  <si>
    <t>nsic 128</t>
  </si>
  <si>
    <t>nsic 300</t>
  </si>
  <si>
    <t>nsic 222</t>
  </si>
  <si>
    <t>nsic 132</t>
  </si>
  <si>
    <t>nsic 322h</t>
  </si>
  <si>
    <t>nsic 124h</t>
  </si>
  <si>
    <t>124h</t>
  </si>
  <si>
    <t>132H</t>
  </si>
  <si>
    <t>322H</t>
  </si>
  <si>
    <t>bags</t>
  </si>
  <si>
    <t>Alburquerque</t>
  </si>
  <si>
    <t>total hybrid</t>
  </si>
  <si>
    <t>Antequera</t>
  </si>
  <si>
    <t>Baclayon</t>
  </si>
  <si>
    <t>Balilihan</t>
  </si>
  <si>
    <t>transfer to Loon 36CS</t>
  </si>
  <si>
    <t>Calape</t>
  </si>
  <si>
    <t>Catigbian</t>
  </si>
  <si>
    <t>Corella</t>
  </si>
  <si>
    <t>Cortes</t>
  </si>
  <si>
    <t>Loon</t>
  </si>
  <si>
    <t>transfer to Balilihan 13bags hybrid</t>
  </si>
  <si>
    <t>Maribojoc</t>
  </si>
  <si>
    <t>Sikatuna</t>
  </si>
  <si>
    <t>Tubigon</t>
  </si>
  <si>
    <t>II</t>
  </si>
  <si>
    <t>Bien Unido</t>
  </si>
  <si>
    <t>Buenavista</t>
  </si>
  <si>
    <t>Clarin</t>
  </si>
  <si>
    <t>Dagohoy</t>
  </si>
  <si>
    <t>Danao</t>
  </si>
  <si>
    <t>Getafe</t>
  </si>
  <si>
    <t>Inabanga</t>
  </si>
  <si>
    <t>Pres. Garcia</t>
  </si>
  <si>
    <t>Sagbayan</t>
  </si>
  <si>
    <t>San Isidro</t>
  </si>
  <si>
    <t>San Miguel</t>
  </si>
  <si>
    <t>Talibon</t>
  </si>
  <si>
    <t>Trinidad</t>
  </si>
  <si>
    <t>Ubay</t>
  </si>
  <si>
    <t>III</t>
  </si>
  <si>
    <t>Alicia</t>
  </si>
  <si>
    <t>Anda</t>
  </si>
  <si>
    <t>Batuan</t>
  </si>
  <si>
    <t>Bilar</t>
  </si>
  <si>
    <t>Candijay</t>
  </si>
  <si>
    <t>Carmen</t>
  </si>
  <si>
    <t>Dimiao</t>
  </si>
  <si>
    <t>Duero</t>
  </si>
  <si>
    <t>G-Hernandez</t>
  </si>
  <si>
    <t>Guindulman</t>
  </si>
  <si>
    <t>Jagna</t>
  </si>
  <si>
    <t>Lila</t>
  </si>
  <si>
    <t>Loay</t>
  </si>
  <si>
    <t>Loboc</t>
  </si>
  <si>
    <t>Mabini</t>
  </si>
  <si>
    <t>Pilar</t>
  </si>
  <si>
    <t>Sevilla</t>
  </si>
  <si>
    <t>Sierra Bullones</t>
  </si>
  <si>
    <t>Valencia</t>
  </si>
  <si>
    <t>KG</t>
  </si>
  <si>
    <t>INBRED</t>
  </si>
  <si>
    <t>HYBRID</t>
  </si>
  <si>
    <t>Date Received</t>
  </si>
  <si>
    <t>11/14/16</t>
  </si>
  <si>
    <t>11/11/16</t>
  </si>
  <si>
    <t>11/15/16</t>
  </si>
  <si>
    <t>ALLOCATION</t>
  </si>
  <si>
    <t>111/15/16</t>
  </si>
  <si>
    <t>11/16/16</t>
  </si>
  <si>
    <t>REMARKS</t>
  </si>
  <si>
    <t>NO NAME OF IA/FA FOR CERTIFIED SEEDS</t>
  </si>
  <si>
    <t>NO SIGNATURE #5 COGON SCFO, LACKING MASTERLIST FOR BOYOG SUR SCFO</t>
  </si>
  <si>
    <t>OK</t>
  </si>
  <si>
    <t>NO SIGNATURE #6 BASIAO FA</t>
  </si>
  <si>
    <t>LACKING MASTERLIST</t>
  </si>
  <si>
    <t>OVER MASTERLIST</t>
  </si>
  <si>
    <t>NO VALUES</t>
  </si>
  <si>
    <t>OVER MASTERLIST, WRONG FORM, PHOTOCOPY ONLY</t>
  </si>
  <si>
    <t>OVER MASTERLIST HYBRID, NO MASTERLIST CS</t>
  </si>
  <si>
    <t>PREMASTERLIST ONLY</t>
  </si>
  <si>
    <t>NO SIGNATURE #5 POB1 FA</t>
  </si>
  <si>
    <t>WRONG FORM</t>
  </si>
  <si>
    <t>OVERMASTERLISTED AND UNDERMASTERLISTED</t>
  </si>
  <si>
    <t>PHOTOCOPY ONLY, NO KG UNIT</t>
  </si>
  <si>
    <t>WRONG FORM, LACKING SIGNATURES</t>
  </si>
  <si>
    <t>TO FOLLOW 11/17/16</t>
  </si>
  <si>
    <t>THRU TXT</t>
  </si>
  <si>
    <t>NIS</t>
  </si>
  <si>
    <t>TOTAL</t>
  </si>
  <si>
    <r>
      <t xml:space="preserve">FA/CIS
</t>
    </r>
    <r>
      <rPr>
        <sz val="8"/>
        <rFont val="Arial"/>
        <family val="2"/>
      </rPr>
      <t>(BAGS)</t>
    </r>
  </si>
  <si>
    <t>GRACE PERIOD</t>
  </si>
  <si>
    <r>
      <t xml:space="preserve">TOTAL
</t>
    </r>
    <r>
      <rPr>
        <sz val="8"/>
        <rFont val="Arial"/>
        <family val="2"/>
      </rPr>
      <t>(BAGS)</t>
    </r>
  </si>
  <si>
    <t>BALANCE FROM ALLOCATION</t>
  </si>
  <si>
    <t>PREMASTERLIST ONLY, WILL SUBMIT ON TUESDAY</t>
  </si>
  <si>
    <t>MASTERLISTED INBRED 656</t>
  </si>
  <si>
    <t>MASTERLISTED</t>
  </si>
  <si>
    <t>CIS/FA</t>
  </si>
  <si>
    <t>W/O MASTERLIST</t>
  </si>
  <si>
    <r>
      <t xml:space="preserve">TOTAL
</t>
    </r>
    <r>
      <rPr>
        <sz val="8"/>
        <rFont val="Arial"/>
        <family val="2"/>
      </rPr>
      <t>(BAG @ 40KLS.)</t>
    </r>
  </si>
  <si>
    <t>(BAG @ 40KLS.)</t>
  </si>
  <si>
    <t>GRAND TOTAL</t>
  </si>
  <si>
    <t>INBRED 656</t>
  </si>
  <si>
    <t>11/17/16</t>
  </si>
  <si>
    <t>11/11/16, 11/17/16</t>
  </si>
  <si>
    <t>balance</t>
  </si>
  <si>
    <t>HYBRID 1670</t>
  </si>
  <si>
    <t>INBRED 2230 (AVAILABLE IN BOFAMCO)</t>
  </si>
  <si>
    <t>Notified</t>
  </si>
  <si>
    <t>Delivered</t>
  </si>
  <si>
    <t>11/18/16</t>
  </si>
  <si>
    <t>Date</t>
  </si>
  <si>
    <t>Value</t>
  </si>
  <si>
    <t>Variety</t>
  </si>
  <si>
    <t>BOFAMCO</t>
  </si>
  <si>
    <t>LGU</t>
  </si>
  <si>
    <t>NOTIFIED</t>
  </si>
  <si>
    <t>BAL</t>
  </si>
  <si>
    <t>DATE RECEIVED</t>
  </si>
  <si>
    <t>WRONG FORM, PHOTOCOPY ONLY</t>
  </si>
  <si>
    <t>NO PREMASTERLIST, NO LOI</t>
  </si>
  <si>
    <t>DATE OF BIRTH</t>
  </si>
  <si>
    <t>PREMASTERLIST ONLY, NOT SPECIED IF CS OR HYBRID</t>
  </si>
  <si>
    <t>NO MASTERLIST CS</t>
  </si>
  <si>
    <t>will add masterlist on hybrid on nov 25,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</si>
</sst>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Arial"/>
      <family val="2"/>
    </font>
    <font>
      <b/>
      <sz val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1">
    <xf numFmtId="0" fontId="0" fillId="0" borderId="0" xfId="0"/>
    <xf numFmtId="2" fontId="3" fillId="0" borderId="0" xfId="0" applyNumberFormat="1" applyFont="1"/>
    <xf numFmtId="0" fontId="3" fillId="0" borderId="0" xfId="0" applyFont="1"/>
    <xf numFmtId="0" fontId="3" fillId="2" borderId="0" xfId="0" applyFont="1" applyFill="1"/>
    <xf numFmtId="2" fontId="3" fillId="0" borderId="0" xfId="0" applyNumberFormat="1" applyFont="1" applyBorder="1"/>
    <xf numFmtId="0" fontId="3" fillId="0" borderId="0" xfId="0" applyFont="1" applyBorder="1"/>
    <xf numFmtId="0" fontId="3" fillId="2" borderId="0" xfId="0" applyFont="1" applyFill="1" applyBorder="1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Fill="1" applyBorder="1" applyAlignment="1"/>
    <xf numFmtId="0" fontId="3" fillId="0" borderId="2" xfId="0" applyFont="1" applyFill="1" applyBorder="1" applyAlignment="1">
      <alignment horizontal="center"/>
    </xf>
    <xf numFmtId="2" fontId="3" fillId="0" borderId="0" xfId="0" applyNumberFormat="1" applyFont="1" applyFill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3" fontId="2" fillId="0" borderId="2" xfId="0" applyNumberFormat="1" applyFont="1" applyFill="1" applyBorder="1" applyAlignment="1">
      <alignment horizontal="center"/>
    </xf>
    <xf numFmtId="2" fontId="4" fillId="0" borderId="0" xfId="0" applyNumberFormat="1" applyFont="1"/>
    <xf numFmtId="3" fontId="2" fillId="0" borderId="0" xfId="0" applyNumberFormat="1" applyFont="1"/>
    <xf numFmtId="3" fontId="2" fillId="2" borderId="0" xfId="0" applyNumberFormat="1" applyFont="1" applyFill="1"/>
    <xf numFmtId="3" fontId="3" fillId="0" borderId="0" xfId="0" applyNumberFormat="1" applyFont="1"/>
    <xf numFmtId="164" fontId="3" fillId="0" borderId="0" xfId="1" applyNumberFormat="1" applyFont="1"/>
    <xf numFmtId="43" fontId="3" fillId="0" borderId="0" xfId="1" applyFont="1"/>
    <xf numFmtId="0" fontId="0" fillId="3" borderId="0" xfId="0" applyFill="1"/>
    <xf numFmtId="0" fontId="2" fillId="0" borderId="0" xfId="0" applyFont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3" fontId="2" fillId="5" borderId="2" xfId="0" applyNumberFormat="1" applyFont="1" applyFill="1" applyBorder="1" applyAlignment="1">
      <alignment horizontal="center"/>
    </xf>
    <xf numFmtId="2" fontId="4" fillId="5" borderId="0" xfId="0" applyNumberFormat="1" applyFont="1" applyFill="1"/>
    <xf numFmtId="0" fontId="3" fillId="5" borderId="0" xfId="0" applyFont="1" applyFill="1"/>
    <xf numFmtId="1" fontId="3" fillId="5" borderId="0" xfId="0" applyNumberFormat="1" applyFont="1" applyFill="1"/>
    <xf numFmtId="0" fontId="0" fillId="4" borderId="0" xfId="0" applyFill="1"/>
    <xf numFmtId="0" fontId="0" fillId="4" borderId="0" xfId="0" applyFont="1" applyFill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2" fontId="3" fillId="0" borderId="2" xfId="0" applyNumberFormat="1" applyFont="1" applyFill="1" applyBorder="1"/>
    <xf numFmtId="165" fontId="3" fillId="0" borderId="0" xfId="0" applyNumberFormat="1" applyFont="1"/>
    <xf numFmtId="1" fontId="3" fillId="2" borderId="0" xfId="0" applyNumberFormat="1" applyFont="1" applyFill="1"/>
    <xf numFmtId="1" fontId="3" fillId="0" borderId="0" xfId="0" applyNumberFormat="1" applyFont="1"/>
    <xf numFmtId="0" fontId="3" fillId="3" borderId="0" xfId="0" applyFont="1" applyFill="1"/>
    <xf numFmtId="164" fontId="3" fillId="3" borderId="0" xfId="1" applyNumberFormat="1" applyFont="1" applyFill="1"/>
    <xf numFmtId="43" fontId="3" fillId="3" borderId="0" xfId="1" applyFont="1" applyFill="1"/>
    <xf numFmtId="0" fontId="2" fillId="5" borderId="2" xfId="0" applyFont="1" applyFill="1" applyBorder="1"/>
    <xf numFmtId="3" fontId="2" fillId="5" borderId="2" xfId="0" applyNumberFormat="1" applyFont="1" applyFill="1" applyBorder="1"/>
    <xf numFmtId="165" fontId="3" fillId="5" borderId="0" xfId="0" applyNumberFormat="1" applyFont="1" applyFill="1"/>
    <xf numFmtId="2" fontId="3" fillId="5" borderId="0" xfId="0" applyNumberFormat="1" applyFont="1" applyFill="1"/>
    <xf numFmtId="4" fontId="3" fillId="0" borderId="0" xfId="0" applyNumberFormat="1" applyFont="1"/>
    <xf numFmtId="0" fontId="2" fillId="0" borderId="0" xfId="0" applyFont="1" applyBorder="1"/>
    <xf numFmtId="3" fontId="2" fillId="0" borderId="0" xfId="0" applyNumberFormat="1" applyFont="1" applyFill="1" applyBorder="1"/>
    <xf numFmtId="1" fontId="2" fillId="0" borderId="0" xfId="0" applyNumberFormat="1" applyFont="1" applyBorder="1"/>
    <xf numFmtId="1" fontId="2" fillId="2" borderId="0" xfId="0" applyNumberFormat="1" applyFont="1" applyFill="1" applyBorder="1"/>
    <xf numFmtId="1" fontId="3" fillId="0" borderId="0" xfId="0" applyNumberFormat="1" applyFont="1" applyBorder="1"/>
    <xf numFmtId="0" fontId="3" fillId="0" borderId="0" xfId="0" applyFont="1" applyFill="1" applyBorder="1"/>
    <xf numFmtId="0" fontId="2" fillId="0" borderId="0" xfId="0" applyFont="1" applyAlignment="1"/>
    <xf numFmtId="2" fontId="2" fillId="0" borderId="0" xfId="0" applyNumberFormat="1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2" fillId="0" borderId="0" xfId="0" applyFont="1" applyFill="1" applyBorder="1"/>
    <xf numFmtId="0" fontId="2" fillId="2" borderId="0" xfId="0" applyFont="1" applyFill="1" applyBorder="1"/>
    <xf numFmtId="0" fontId="3" fillId="0" borderId="0" xfId="0" applyFont="1" applyFill="1"/>
    <xf numFmtId="2" fontId="3" fillId="0" borderId="3" xfId="0" applyNumberFormat="1" applyFont="1" applyBorder="1"/>
    <xf numFmtId="0" fontId="3" fillId="0" borderId="3" xfId="0" applyFont="1" applyBorder="1"/>
    <xf numFmtId="0" fontId="3" fillId="2" borderId="3" xfId="0" applyFont="1" applyFill="1" applyBorder="1"/>
    <xf numFmtId="0" fontId="3" fillId="5" borderId="3" xfId="0" applyFont="1" applyFill="1" applyBorder="1"/>
    <xf numFmtId="0" fontId="3" fillId="0" borderId="3" xfId="0" applyFont="1" applyFill="1" applyBorder="1"/>
    <xf numFmtId="0" fontId="3" fillId="7" borderId="3" xfId="0" applyFont="1" applyFill="1" applyBorder="1"/>
    <xf numFmtId="0" fontId="3" fillId="11" borderId="3" xfId="0" applyFont="1" applyFill="1" applyBorder="1"/>
    <xf numFmtId="0" fontId="3" fillId="6" borderId="3" xfId="0" applyFont="1" applyFill="1" applyBorder="1"/>
    <xf numFmtId="49" fontId="0" fillId="0" borderId="3" xfId="0" applyNumberFormat="1" applyFont="1" applyBorder="1"/>
    <xf numFmtId="49" fontId="0" fillId="10" borderId="3" xfId="0" applyNumberFormat="1" applyFont="1" applyFill="1" applyBorder="1"/>
    <xf numFmtId="0" fontId="3" fillId="0" borderId="3" xfId="0" applyFont="1" applyBorder="1" applyAlignment="1">
      <alignment horizontal="center"/>
    </xf>
    <xf numFmtId="0" fontId="3" fillId="0" borderId="3" xfId="0" applyFont="1" applyFill="1" applyBorder="1" applyAlignment="1"/>
    <xf numFmtId="0" fontId="3" fillId="0" borderId="3" xfId="0" applyFont="1" applyFill="1" applyBorder="1" applyAlignment="1">
      <alignment horizontal="center"/>
    </xf>
    <xf numFmtId="2" fontId="3" fillId="0" borderId="3" xfId="0" applyNumberFormat="1" applyFont="1" applyFill="1" applyBorder="1"/>
    <xf numFmtId="0" fontId="3" fillId="0" borderId="3" xfId="0" applyFont="1" applyFill="1" applyBorder="1" applyAlignment="1">
      <alignment horizontal="center"/>
    </xf>
    <xf numFmtId="3" fontId="3" fillId="0" borderId="3" xfId="0" applyNumberFormat="1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7" borderId="3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/>
    <xf numFmtId="3" fontId="3" fillId="6" borderId="3" xfId="0" applyNumberFormat="1" applyFont="1" applyFill="1" applyBorder="1" applyAlignment="1"/>
    <xf numFmtId="0" fontId="3" fillId="6" borderId="3" xfId="0" applyFont="1" applyFill="1" applyBorder="1" applyAlignment="1">
      <alignment horizontal="center"/>
    </xf>
    <xf numFmtId="49" fontId="0" fillId="0" borderId="3" xfId="0" applyNumberFormat="1" applyFont="1" applyFill="1" applyBorder="1" applyAlignment="1">
      <alignment horizontal="center"/>
    </xf>
    <xf numFmtId="49" fontId="11" fillId="10" borderId="3" xfId="0" applyNumberFormat="1" applyFont="1" applyFill="1" applyBorder="1" applyAlignment="1"/>
    <xf numFmtId="49" fontId="0" fillId="0" borderId="3" xfId="0" applyNumberFormat="1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 wrapText="1"/>
    </xf>
    <xf numFmtId="49" fontId="0" fillId="0" borderId="3" xfId="0" applyNumberFormat="1" applyFont="1" applyBorder="1" applyAlignment="1">
      <alignment vertical="center"/>
    </xf>
    <xf numFmtId="49" fontId="0" fillId="10" borderId="3" xfId="0" applyNumberFormat="1" applyFont="1" applyFill="1" applyBorder="1" applyAlignment="1">
      <alignment vertical="center" wrapText="1"/>
    </xf>
    <xf numFmtId="3" fontId="2" fillId="0" borderId="3" xfId="0" applyNumberFormat="1" applyFont="1" applyFill="1" applyBorder="1" applyAlignment="1">
      <alignment horizontal="center"/>
    </xf>
    <xf numFmtId="3" fontId="2" fillId="0" borderId="3" xfId="0" applyNumberFormat="1" applyFont="1" applyFill="1" applyBorder="1"/>
    <xf numFmtId="0" fontId="0" fillId="0" borderId="3" xfId="0" applyBorder="1"/>
    <xf numFmtId="0" fontId="0" fillId="3" borderId="3" xfId="0" applyFill="1" applyBorder="1"/>
    <xf numFmtId="0" fontId="2" fillId="8" borderId="3" xfId="0" applyFont="1" applyFill="1" applyBorder="1" applyAlignment="1">
      <alignment horizontal="center"/>
    </xf>
    <xf numFmtId="0" fontId="3" fillId="8" borderId="3" xfId="0" applyFont="1" applyFill="1" applyBorder="1"/>
    <xf numFmtId="0" fontId="2" fillId="8" borderId="3" xfId="0" applyFont="1" applyFill="1" applyBorder="1" applyAlignment="1">
      <alignment horizontal="right"/>
    </xf>
    <xf numFmtId="3" fontId="2" fillId="8" borderId="3" xfId="0" applyNumberFormat="1" applyFont="1" applyFill="1" applyBorder="1" applyAlignment="1">
      <alignment horizontal="center"/>
    </xf>
    <xf numFmtId="2" fontId="4" fillId="8" borderId="3" xfId="0" applyNumberFormat="1" applyFont="1" applyFill="1" applyBorder="1"/>
    <xf numFmtId="1" fontId="3" fillId="8" borderId="3" xfId="0" applyNumberFormat="1" applyFont="1" applyFill="1" applyBorder="1"/>
    <xf numFmtId="1" fontId="3" fillId="0" borderId="3" xfId="0" applyNumberFormat="1" applyFont="1" applyFill="1" applyBorder="1"/>
    <xf numFmtId="49" fontId="0" fillId="8" borderId="3" xfId="0" applyNumberFormat="1" applyFont="1" applyFill="1" applyBorder="1"/>
    <xf numFmtId="0" fontId="0" fillId="8" borderId="3" xfId="0" applyFill="1" applyBorder="1"/>
    <xf numFmtId="0" fontId="0" fillId="8" borderId="3" xfId="0" applyFont="1" applyFill="1" applyBorder="1"/>
    <xf numFmtId="0" fontId="0" fillId="4" borderId="3" xfId="0" applyFill="1" applyBorder="1"/>
    <xf numFmtId="0" fontId="0" fillId="4" borderId="3" xfId="0" applyFont="1" applyFill="1" applyBorder="1"/>
    <xf numFmtId="165" fontId="3" fillId="0" borderId="3" xfId="0" applyNumberFormat="1" applyFont="1" applyBorder="1"/>
    <xf numFmtId="1" fontId="3" fillId="2" borderId="3" xfId="0" applyNumberFormat="1" applyFont="1" applyFill="1" applyBorder="1"/>
    <xf numFmtId="1" fontId="3" fillId="9" borderId="3" xfId="0" applyNumberFormat="1" applyFont="1" applyFill="1" applyBorder="1"/>
    <xf numFmtId="1" fontId="3" fillId="5" borderId="3" xfId="0" applyNumberFormat="1" applyFont="1" applyFill="1" applyBorder="1"/>
    <xf numFmtId="1" fontId="3" fillId="7" borderId="3" xfId="0" applyNumberFormat="1" applyFont="1" applyFill="1" applyBorder="1"/>
    <xf numFmtId="1" fontId="3" fillId="11" borderId="3" xfId="0" applyNumberFormat="1" applyFont="1" applyFill="1" applyBorder="1"/>
    <xf numFmtId="1" fontId="3" fillId="6" borderId="3" xfId="0" applyNumberFormat="1" applyFont="1" applyFill="1" applyBorder="1"/>
    <xf numFmtId="1" fontId="0" fillId="10" borderId="3" xfId="0" applyNumberFormat="1" applyFont="1" applyFill="1" applyBorder="1"/>
    <xf numFmtId="1" fontId="0" fillId="0" borderId="3" xfId="0" applyNumberFormat="1" applyFont="1" applyBorder="1"/>
    <xf numFmtId="0" fontId="3" fillId="3" borderId="3" xfId="0" applyFont="1" applyFill="1" applyBorder="1"/>
    <xf numFmtId="164" fontId="3" fillId="3" borderId="3" xfId="1" applyNumberFormat="1" applyFont="1" applyFill="1" applyBorder="1"/>
    <xf numFmtId="43" fontId="3" fillId="3" borderId="3" xfId="1" applyFont="1" applyFill="1" applyBorder="1"/>
    <xf numFmtId="1" fontId="0" fillId="0" borderId="3" xfId="0" applyNumberFormat="1" applyFont="1" applyFill="1" applyBorder="1"/>
    <xf numFmtId="0" fontId="2" fillId="8" borderId="3" xfId="0" applyFont="1" applyFill="1" applyBorder="1"/>
    <xf numFmtId="3" fontId="2" fillId="8" borderId="3" xfId="0" applyNumberFormat="1" applyFont="1" applyFill="1" applyBorder="1"/>
    <xf numFmtId="165" fontId="3" fillId="8" borderId="3" xfId="0" applyNumberFormat="1" applyFont="1" applyFill="1" applyBorder="1"/>
    <xf numFmtId="2" fontId="3" fillId="8" borderId="3" xfId="0" applyNumberFormat="1" applyFont="1" applyFill="1" applyBorder="1"/>
    <xf numFmtId="2" fontId="3" fillId="3" borderId="3" xfId="0" applyNumberFormat="1" applyFont="1" applyFill="1" applyBorder="1"/>
    <xf numFmtId="165" fontId="3" fillId="3" borderId="3" xfId="0" applyNumberFormat="1" applyFont="1" applyFill="1" applyBorder="1"/>
    <xf numFmtId="2" fontId="3" fillId="2" borderId="3" xfId="0" applyNumberFormat="1" applyFont="1" applyFill="1" applyBorder="1"/>
    <xf numFmtId="49" fontId="0" fillId="3" borderId="3" xfId="0" applyNumberFormat="1" applyFont="1" applyFill="1" applyBorder="1"/>
    <xf numFmtId="4" fontId="3" fillId="0" borderId="3" xfId="0" applyNumberFormat="1" applyFont="1" applyBorder="1"/>
    <xf numFmtId="4" fontId="3" fillId="3" borderId="3" xfId="0" applyNumberFormat="1" applyFont="1" applyFill="1" applyBorder="1"/>
    <xf numFmtId="0" fontId="2" fillId="0" borderId="3" xfId="0" applyFont="1" applyFill="1" applyBorder="1" applyAlignment="1"/>
    <xf numFmtId="0" fontId="2" fillId="0" borderId="3" xfId="0" applyFont="1" applyFill="1" applyBorder="1"/>
    <xf numFmtId="0" fontId="2" fillId="12" borderId="3" xfId="0" applyFont="1" applyFill="1" applyBorder="1"/>
    <xf numFmtId="0" fontId="2" fillId="12" borderId="3" xfId="0" applyFont="1" applyFill="1" applyBorder="1" applyAlignment="1">
      <alignment horizontal="center"/>
    </xf>
    <xf numFmtId="3" fontId="2" fillId="12" borderId="3" xfId="0" applyNumberFormat="1" applyFont="1" applyFill="1" applyBorder="1" applyAlignment="1">
      <alignment horizontal="center"/>
    </xf>
    <xf numFmtId="2" fontId="4" fillId="12" borderId="3" xfId="0" applyNumberFormat="1" applyFont="1" applyFill="1" applyBorder="1"/>
    <xf numFmtId="3" fontId="2" fillId="12" borderId="3" xfId="0" applyNumberFormat="1" applyFont="1" applyFill="1" applyBorder="1"/>
    <xf numFmtId="164" fontId="3" fillId="12" borderId="3" xfId="1" applyNumberFormat="1" applyFont="1" applyFill="1" applyBorder="1"/>
    <xf numFmtId="49" fontId="0" fillId="12" borderId="3" xfId="1" applyNumberFormat="1" applyFont="1" applyFill="1" applyBorder="1"/>
    <xf numFmtId="0" fontId="0" fillId="12" borderId="3" xfId="0" applyFill="1" applyBorder="1"/>
    <xf numFmtId="0" fontId="2" fillId="0" borderId="3" xfId="0" applyFont="1" applyFill="1" applyBorder="1" applyAlignment="1">
      <alignment horizontal="center"/>
    </xf>
    <xf numFmtId="49" fontId="0" fillId="0" borderId="3" xfId="0" applyNumberFormat="1" applyFont="1" applyFill="1" applyBorder="1"/>
    <xf numFmtId="2" fontId="2" fillId="0" borderId="3" xfId="0" applyNumberFormat="1" applyFont="1" applyFill="1" applyBorder="1" applyAlignment="1"/>
    <xf numFmtId="49" fontId="0" fillId="0" borderId="3" xfId="0" applyNumberFormat="1" applyFont="1" applyFill="1" applyBorder="1" applyAlignment="1"/>
    <xf numFmtId="0" fontId="3" fillId="0" borderId="6" xfId="0" applyFont="1" applyFill="1" applyBorder="1" applyAlignment="1"/>
    <xf numFmtId="3" fontId="3" fillId="0" borderId="6" xfId="0" applyNumberFormat="1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0" fillId="9" borderId="8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/>
    </xf>
    <xf numFmtId="3" fontId="2" fillId="5" borderId="10" xfId="0" applyNumberFormat="1" applyFont="1" applyFill="1" applyBorder="1" applyAlignment="1">
      <alignment horizontal="center"/>
    </xf>
    <xf numFmtId="0" fontId="0" fillId="7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/>
    <xf numFmtId="0" fontId="3" fillId="5" borderId="9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3" fontId="2" fillId="0" borderId="12" xfId="0" applyNumberFormat="1" applyFont="1" applyFill="1" applyBorder="1" applyAlignment="1">
      <alignment horizontal="center"/>
    </xf>
    <xf numFmtId="49" fontId="3" fillId="0" borderId="3" xfId="0" applyNumberFormat="1" applyFont="1" applyFill="1" applyBorder="1"/>
    <xf numFmtId="49" fontId="0" fillId="0" borderId="11" xfId="0" applyNumberFormat="1" applyFont="1" applyFill="1" applyBorder="1" applyAlignment="1">
      <alignment horizontal="center"/>
    </xf>
    <xf numFmtId="49" fontId="2" fillId="0" borderId="12" xfId="0" applyNumberFormat="1" applyFont="1" applyFill="1" applyBorder="1" applyAlignment="1">
      <alignment horizontal="center"/>
    </xf>
    <xf numFmtId="49" fontId="0" fillId="0" borderId="8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/>
    <xf numFmtId="49" fontId="2" fillId="0" borderId="3" xfId="0" applyNumberFormat="1" applyFont="1" applyFill="1" applyBorder="1" applyAlignment="1"/>
    <xf numFmtId="1" fontId="2" fillId="12" borderId="3" xfId="0" applyNumberFormat="1" applyFont="1" applyFill="1" applyBorder="1"/>
    <xf numFmtId="1" fontId="2" fillId="0" borderId="3" xfId="0" applyNumberFormat="1" applyFont="1" applyFill="1" applyBorder="1" applyAlignment="1"/>
    <xf numFmtId="1" fontId="2" fillId="0" borderId="3" xfId="0" applyNumberFormat="1" applyFont="1" applyFill="1" applyBorder="1"/>
    <xf numFmtId="1" fontId="0" fillId="5" borderId="9" xfId="0" applyNumberFormat="1" applyFont="1" applyFill="1" applyBorder="1" applyAlignment="1">
      <alignment horizontal="center"/>
    </xf>
    <xf numFmtId="1" fontId="2" fillId="5" borderId="10" xfId="0" applyNumberFormat="1" applyFont="1" applyFill="1" applyBorder="1" applyAlignment="1">
      <alignment horizontal="center"/>
    </xf>
    <xf numFmtId="49" fontId="0" fillId="13" borderId="3" xfId="0" applyNumberFormat="1" applyFont="1" applyFill="1" applyBorder="1" applyAlignment="1">
      <alignment horizontal="center" vertical="center" wrapText="1"/>
    </xf>
    <xf numFmtId="49" fontId="3" fillId="13" borderId="3" xfId="0" applyNumberFormat="1" applyFont="1" applyFill="1" applyBorder="1" applyAlignment="1">
      <alignment horizontal="center" vertical="center"/>
    </xf>
    <xf numFmtId="1" fontId="3" fillId="13" borderId="3" xfId="0" applyNumberFormat="1" applyFont="1" applyFill="1" applyBorder="1" applyAlignment="1">
      <alignment horizontal="center" vertical="center"/>
    </xf>
    <xf numFmtId="49" fontId="0" fillId="13" borderId="11" xfId="0" applyNumberFormat="1" applyFont="1" applyFill="1" applyBorder="1" applyAlignment="1">
      <alignment horizontal="center"/>
    </xf>
    <xf numFmtId="49" fontId="2" fillId="13" borderId="12" xfId="0" applyNumberFormat="1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 wrapText="1"/>
    </xf>
    <xf numFmtId="49" fontId="3" fillId="8" borderId="3" xfId="0" applyNumberFormat="1" applyFont="1" applyFill="1" applyBorder="1"/>
    <xf numFmtId="49" fontId="2" fillId="12" borderId="3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wrapText="1"/>
    </xf>
    <xf numFmtId="0" fontId="0" fillId="9" borderId="3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1" borderId="3" xfId="0" applyFont="1" applyFill="1" applyBorder="1" applyAlignment="1">
      <alignment horizontal="center" wrapText="1"/>
    </xf>
    <xf numFmtId="0" fontId="0" fillId="11" borderId="3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/>
    </xf>
    <xf numFmtId="49" fontId="0" fillId="13" borderId="13" xfId="0" applyNumberFormat="1" applyFont="1" applyFill="1" applyBorder="1" applyAlignment="1">
      <alignment horizontal="center" vertical="center" wrapText="1"/>
    </xf>
    <xf numFmtId="49" fontId="0" fillId="13" borderId="14" xfId="0" applyNumberFormat="1" applyFont="1" applyFill="1" applyBorder="1" applyAlignment="1">
      <alignment horizontal="center" vertical="center" wrapText="1"/>
    </xf>
    <xf numFmtId="49" fontId="3" fillId="13" borderId="4" xfId="0" applyNumberFormat="1" applyFont="1" applyFill="1" applyBorder="1" applyAlignment="1">
      <alignment horizontal="center" vertical="center"/>
    </xf>
    <xf numFmtId="49" fontId="3" fillId="13" borderId="14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AA224"/>
  <sheetViews>
    <sheetView topLeftCell="A4" zoomScale="110" zoomScaleNormal="110" workbookViewId="0">
      <pane xSplit="3" ySplit="6" topLeftCell="D16" activePane="bottomRight" state="frozen"/>
      <selection activeCell="A4" sqref="A4"/>
      <selection pane="topRight" activeCell="D4" sqref="D4"/>
      <selection pane="bottomLeft" activeCell="A10" sqref="A10"/>
      <selection pane="bottomRight" activeCell="D28" sqref="D28"/>
    </sheetView>
  </sheetViews>
  <sheetFormatPr defaultColWidth="9.140625" defaultRowHeight="15" x14ac:dyDescent="0.2"/>
  <cols>
    <col min="1" max="1" width="3.7109375" style="2" customWidth="1"/>
    <col min="2" max="2" width="4.140625" style="2" customWidth="1"/>
    <col min="3" max="3" width="15.140625" style="2" customWidth="1"/>
    <col min="4" max="4" width="10.85546875" style="57" customWidth="1"/>
    <col min="5" max="5" width="12.7109375" style="57" customWidth="1"/>
    <col min="6" max="6" width="11.85546875" style="57" customWidth="1"/>
    <col min="7" max="7" width="14.28515625" style="1" customWidth="1"/>
    <col min="8" max="8" width="10.28515625" style="2" customWidth="1"/>
    <col min="9" max="9" width="15.85546875" style="3" customWidth="1"/>
    <col min="10" max="10" width="5" style="2" customWidth="1"/>
    <col min="11" max="11" width="12.7109375" style="2" customWidth="1"/>
    <col min="12" max="12" width="17.28515625" style="3" customWidth="1"/>
    <col min="13" max="13" width="4.42578125" style="2" customWidth="1"/>
    <col min="14" max="14" width="40.42578125" style="2" customWidth="1"/>
    <col min="15" max="16" width="9.28515625" style="2" bestFit="1" customWidth="1"/>
    <col min="17" max="22" width="9.140625" style="2"/>
    <col min="23" max="23" width="12" style="2" customWidth="1"/>
    <col min="24" max="24" width="11.28515625" style="2" bestFit="1" customWidth="1"/>
    <col min="25" max="25" width="12.7109375" style="2" customWidth="1"/>
    <col min="26" max="16384" width="9.140625" style="2"/>
  </cols>
  <sheetData>
    <row r="1" spans="1:27" ht="15.75" x14ac:dyDescent="0.25">
      <c r="A1" s="181" t="s">
        <v>0</v>
      </c>
      <c r="B1" s="181"/>
      <c r="C1" s="181"/>
      <c r="D1" s="181"/>
      <c r="E1" s="181"/>
      <c r="F1" s="181"/>
    </row>
    <row r="2" spans="1:27" s="5" customFormat="1" x14ac:dyDescent="0.2">
      <c r="A2" s="182" t="s">
        <v>1</v>
      </c>
      <c r="B2" s="182"/>
      <c r="C2" s="182"/>
      <c r="D2" s="182"/>
      <c r="E2" s="182"/>
      <c r="F2" s="182"/>
      <c r="G2" s="4"/>
      <c r="I2" s="6"/>
      <c r="L2" s="6"/>
    </row>
    <row r="3" spans="1:27" x14ac:dyDescent="0.2">
      <c r="A3" s="7"/>
      <c r="B3" s="7"/>
      <c r="C3" s="7"/>
      <c r="D3" s="8"/>
      <c r="E3" s="8"/>
      <c r="F3" s="8"/>
      <c r="G3" s="1">
        <v>2892</v>
      </c>
    </row>
    <row r="4" spans="1:27" ht="12.75" hidden="1" customHeight="1" x14ac:dyDescent="0.2">
      <c r="A4" s="183" t="s">
        <v>2</v>
      </c>
      <c r="B4" s="183"/>
      <c r="C4" s="183"/>
      <c r="D4" s="9"/>
      <c r="E4" s="9"/>
      <c r="F4" s="9"/>
    </row>
    <row r="5" spans="1:27" hidden="1" x14ac:dyDescent="0.2">
      <c r="A5" s="183"/>
      <c r="B5" s="183"/>
      <c r="C5" s="183"/>
      <c r="D5" s="10" t="s">
        <v>3</v>
      </c>
      <c r="E5" s="10" t="s">
        <v>4</v>
      </c>
      <c r="F5" s="10" t="s">
        <v>5</v>
      </c>
      <c r="G5" s="11"/>
      <c r="H5" s="184"/>
      <c r="I5" s="184"/>
      <c r="J5" s="184"/>
      <c r="K5" s="184"/>
      <c r="L5" s="184"/>
      <c r="M5" s="184"/>
      <c r="N5" s="184"/>
      <c r="O5" s="184"/>
      <c r="P5" s="184"/>
    </row>
    <row r="6" spans="1:27" x14ac:dyDescent="0.2">
      <c r="A6" s="183"/>
      <c r="B6" s="183"/>
      <c r="C6" s="183"/>
      <c r="D6" s="10"/>
      <c r="E6" s="10"/>
      <c r="F6" s="10"/>
      <c r="H6" s="2" t="s">
        <v>6</v>
      </c>
      <c r="I6" s="3" t="s">
        <v>6</v>
      </c>
      <c r="K6" s="2" t="s">
        <v>7</v>
      </c>
      <c r="L6" s="3" t="s">
        <v>7</v>
      </c>
    </row>
    <row r="7" spans="1:27" s="22" customFormat="1" ht="18" x14ac:dyDescent="0.25">
      <c r="A7" s="12" t="s">
        <v>8</v>
      </c>
      <c r="B7" s="13"/>
      <c r="C7" s="13">
        <v>45</v>
      </c>
      <c r="D7" s="14">
        <v>23041.438583801275</v>
      </c>
      <c r="E7" s="14">
        <v>24336.071416198702</v>
      </c>
      <c r="F7" s="14">
        <v>47377.51</v>
      </c>
      <c r="G7" s="15"/>
      <c r="H7" s="16">
        <f>SUM(H10:H56)</f>
        <v>2891.8518915952554</v>
      </c>
      <c r="I7" s="17">
        <f>SUM(I8+I22+I37)</f>
        <v>2892</v>
      </c>
      <c r="J7" s="18"/>
      <c r="K7" s="19">
        <f>SUM(K10:K56)</f>
        <v>1669.8446261978138</v>
      </c>
      <c r="L7" s="17">
        <f>SUM(L8+L22+L37)</f>
        <v>1670</v>
      </c>
      <c r="M7" s="19"/>
      <c r="N7" s="20"/>
      <c r="O7" t="s">
        <v>9</v>
      </c>
      <c r="P7"/>
      <c r="Q7"/>
      <c r="R7"/>
      <c r="S7"/>
      <c r="T7"/>
      <c r="U7"/>
      <c r="V7" s="21" t="s">
        <v>10</v>
      </c>
      <c r="W7" s="21" t="s">
        <v>11</v>
      </c>
      <c r="X7" s="21" t="s">
        <v>12</v>
      </c>
      <c r="Y7" s="185" t="s">
        <v>13</v>
      </c>
      <c r="Z7" s="185"/>
      <c r="AA7" s="185"/>
    </row>
    <row r="8" spans="1:27" ht="18" x14ac:dyDescent="0.25">
      <c r="A8" s="23" t="s">
        <v>14</v>
      </c>
      <c r="B8" s="24"/>
      <c r="C8" s="23">
        <v>12</v>
      </c>
      <c r="D8" s="25">
        <v>1141.9625725706671</v>
      </c>
      <c r="E8" s="25">
        <v>4227.5374274293326</v>
      </c>
      <c r="F8" s="25">
        <v>5369.5</v>
      </c>
      <c r="G8" s="26">
        <f>F8/47378</f>
        <v>0.11333319262104774</v>
      </c>
      <c r="H8" s="27"/>
      <c r="I8" s="28">
        <f>SUM(I10:I21)</f>
        <v>325</v>
      </c>
      <c r="J8" s="27"/>
      <c r="K8" s="27"/>
      <c r="L8" s="28">
        <f>SUM(L10:L21)</f>
        <v>189</v>
      </c>
      <c r="O8" t="s">
        <v>15</v>
      </c>
      <c r="P8" t="s">
        <v>16</v>
      </c>
      <c r="Q8" t="s">
        <v>17</v>
      </c>
      <c r="R8" t="s">
        <v>18</v>
      </c>
      <c r="S8" t="s">
        <v>19</v>
      </c>
      <c r="T8" t="s">
        <v>20</v>
      </c>
      <c r="U8" t="s">
        <v>21</v>
      </c>
      <c r="V8" s="21" t="s">
        <v>22</v>
      </c>
      <c r="W8" s="21" t="s">
        <v>23</v>
      </c>
      <c r="X8" s="21" t="s">
        <v>24</v>
      </c>
      <c r="Y8" s="29" t="s">
        <v>25</v>
      </c>
      <c r="Z8" s="29" t="s">
        <v>26</v>
      </c>
      <c r="AA8" s="30" t="s">
        <v>27</v>
      </c>
    </row>
    <row r="9" spans="1:27" ht="15.75" x14ac:dyDescent="0.25">
      <c r="A9" s="31"/>
      <c r="B9" s="32"/>
      <c r="C9" s="32"/>
      <c r="D9" s="14"/>
      <c r="E9" s="14"/>
      <c r="F9" s="14"/>
      <c r="O9" t="s">
        <v>28</v>
      </c>
      <c r="P9">
        <v>823</v>
      </c>
      <c r="Q9">
        <v>71</v>
      </c>
      <c r="R9">
        <v>123</v>
      </c>
      <c r="S9">
        <v>126</v>
      </c>
      <c r="T9">
        <v>378</v>
      </c>
      <c r="U9">
        <v>837</v>
      </c>
      <c r="V9" s="21">
        <v>425</v>
      </c>
      <c r="W9" s="21">
        <v>493</v>
      </c>
      <c r="X9" s="21">
        <v>723</v>
      </c>
      <c r="Y9" s="29">
        <v>289</v>
      </c>
      <c r="Z9" s="29">
        <v>165</v>
      </c>
      <c r="AA9" s="30">
        <v>192</v>
      </c>
    </row>
    <row r="10" spans="1:27" x14ac:dyDescent="0.2">
      <c r="A10" s="32"/>
      <c r="B10" s="31">
        <v>1</v>
      </c>
      <c r="C10" s="32" t="s">
        <v>29</v>
      </c>
      <c r="D10" s="33">
        <v>1.64468925478253</v>
      </c>
      <c r="E10" s="33">
        <v>112.85531074521748</v>
      </c>
      <c r="F10" s="33">
        <v>114.5</v>
      </c>
      <c r="G10" s="34">
        <f t="shared" ref="G10:G21" si="0">F10/47378</f>
        <v>2.4167335050023215E-3</v>
      </c>
      <c r="H10" s="1">
        <f>G10*2892</f>
        <v>6.9891932964667136</v>
      </c>
      <c r="I10" s="35">
        <v>7</v>
      </c>
      <c r="J10" s="36"/>
      <c r="K10" s="1">
        <f>G10*1670</f>
        <v>4.0359449533538774</v>
      </c>
      <c r="L10" s="35">
        <v>4</v>
      </c>
      <c r="M10" s="36"/>
      <c r="N10" s="36"/>
      <c r="V10" s="37"/>
      <c r="W10" s="37" t="s">
        <v>30</v>
      </c>
      <c r="X10" s="38">
        <f>SUM(V9:AA9)</f>
        <v>2287</v>
      </c>
      <c r="Y10" s="38"/>
    </row>
    <row r="11" spans="1:27" x14ac:dyDescent="0.2">
      <c r="A11" s="32"/>
      <c r="B11" s="31">
        <v>2</v>
      </c>
      <c r="C11" s="32" t="s">
        <v>31</v>
      </c>
      <c r="D11" s="33">
        <v>82.2344627391263</v>
      </c>
      <c r="E11" s="33">
        <v>419.76553726087371</v>
      </c>
      <c r="F11" s="33">
        <v>502</v>
      </c>
      <c r="G11" s="34">
        <f t="shared" si="0"/>
        <v>1.0595635104901009E-2</v>
      </c>
      <c r="H11" s="1">
        <f>G11*2892</f>
        <v>30.642576723373718</v>
      </c>
      <c r="I11" s="35">
        <v>30</v>
      </c>
      <c r="J11" s="36"/>
      <c r="K11" s="1">
        <f>G11*1670</f>
        <v>17.694710625184683</v>
      </c>
      <c r="L11" s="35">
        <v>18</v>
      </c>
      <c r="M11" s="36"/>
      <c r="N11" s="36"/>
      <c r="V11" s="37"/>
      <c r="W11" s="37" t="s">
        <v>8</v>
      </c>
      <c r="X11" s="38">
        <f>X10*73%</f>
        <v>1669.51</v>
      </c>
      <c r="Y11" s="39"/>
    </row>
    <row r="12" spans="1:27" x14ac:dyDescent="0.2">
      <c r="A12" s="32"/>
      <c r="B12" s="31">
        <v>3</v>
      </c>
      <c r="C12" s="32" t="s">
        <v>32</v>
      </c>
      <c r="D12" s="33">
        <v>0</v>
      </c>
      <c r="E12" s="33">
        <v>89</v>
      </c>
      <c r="F12" s="33">
        <v>89</v>
      </c>
      <c r="G12" s="34">
        <f t="shared" si="0"/>
        <v>1.878509012621892E-3</v>
      </c>
      <c r="H12" s="1">
        <f>G12*2892</f>
        <v>5.4326480645025121</v>
      </c>
      <c r="I12" s="35">
        <v>5</v>
      </c>
      <c r="J12" s="36"/>
      <c r="K12" s="1">
        <f>G12*1670</f>
        <v>3.1371100510785599</v>
      </c>
      <c r="L12" s="35">
        <v>3</v>
      </c>
      <c r="M12" s="36"/>
      <c r="N12" s="36"/>
    </row>
    <row r="13" spans="1:27" x14ac:dyDescent="0.2">
      <c r="A13" s="32"/>
      <c r="B13" s="31">
        <v>4</v>
      </c>
      <c r="C13" s="32" t="s">
        <v>33</v>
      </c>
      <c r="D13" s="33">
        <v>116.77293708955935</v>
      </c>
      <c r="E13" s="33">
        <v>478.72706291044062</v>
      </c>
      <c r="F13" s="33">
        <v>595.5</v>
      </c>
      <c r="G13" s="34">
        <f t="shared" si="0"/>
        <v>1.2569124910295918E-2</v>
      </c>
      <c r="H13" s="1">
        <v>0</v>
      </c>
      <c r="I13" s="35">
        <v>0</v>
      </c>
      <c r="J13" s="36">
        <f>36-36</f>
        <v>0</v>
      </c>
      <c r="K13" s="1">
        <v>34</v>
      </c>
      <c r="L13" s="35">
        <v>34</v>
      </c>
      <c r="M13" s="36">
        <f>21+13</f>
        <v>34</v>
      </c>
      <c r="N13" s="36" t="s">
        <v>34</v>
      </c>
    </row>
    <row r="14" spans="1:27" x14ac:dyDescent="0.2">
      <c r="A14" s="32"/>
      <c r="B14" s="31">
        <v>5</v>
      </c>
      <c r="C14" s="32" t="s">
        <v>35</v>
      </c>
      <c r="D14" s="33">
        <v>236.83525268868374</v>
      </c>
      <c r="E14" s="33">
        <v>812.16474731131621</v>
      </c>
      <c r="F14" s="33">
        <v>1049</v>
      </c>
      <c r="G14" s="34">
        <f t="shared" si="0"/>
        <v>2.2141078137532189E-2</v>
      </c>
      <c r="H14" s="1">
        <f>G14*2892</f>
        <v>64.031997973743088</v>
      </c>
      <c r="I14" s="35">
        <v>64</v>
      </c>
      <c r="J14" s="36"/>
      <c r="K14" s="1">
        <f>G14*1670</f>
        <v>36.975600489678754</v>
      </c>
      <c r="L14" s="35">
        <v>37</v>
      </c>
      <c r="M14" s="36"/>
      <c r="N14" s="36"/>
    </row>
    <row r="15" spans="1:27" x14ac:dyDescent="0.2">
      <c r="A15" s="32"/>
      <c r="B15" s="31">
        <v>6</v>
      </c>
      <c r="C15" s="32" t="s">
        <v>36</v>
      </c>
      <c r="D15" s="33">
        <v>106.35657180927001</v>
      </c>
      <c r="E15" s="33">
        <v>1213.64342819073</v>
      </c>
      <c r="F15" s="33">
        <v>1320</v>
      </c>
      <c r="G15" s="34">
        <f t="shared" si="0"/>
        <v>2.7861032546751655E-2</v>
      </c>
      <c r="H15" s="1">
        <f>G15*2892</f>
        <v>80.574106125205788</v>
      </c>
      <c r="I15" s="35">
        <v>80</v>
      </c>
      <c r="J15" s="36"/>
      <c r="K15" s="1">
        <f>G15*1670</f>
        <v>46.527924353075264</v>
      </c>
      <c r="L15" s="35">
        <v>46</v>
      </c>
      <c r="M15" s="36"/>
      <c r="N15" s="36"/>
    </row>
    <row r="16" spans="1:27" x14ac:dyDescent="0.2">
      <c r="A16" s="32"/>
      <c r="B16" s="31">
        <v>7</v>
      </c>
      <c r="C16" s="32" t="s">
        <v>37</v>
      </c>
      <c r="D16" s="33">
        <v>0</v>
      </c>
      <c r="E16" s="33">
        <v>86</v>
      </c>
      <c r="F16" s="33">
        <v>86</v>
      </c>
      <c r="G16" s="34">
        <f t="shared" si="0"/>
        <v>1.8151884841065473E-3</v>
      </c>
      <c r="H16" s="1">
        <f>G16*2892</f>
        <v>5.2495250960361348</v>
      </c>
      <c r="I16" s="35">
        <v>5</v>
      </c>
      <c r="J16" s="36"/>
      <c r="K16" s="1">
        <f>G16*1670</f>
        <v>3.0313647684579341</v>
      </c>
      <c r="L16" s="35">
        <v>3</v>
      </c>
      <c r="M16" s="36"/>
      <c r="N16" s="36"/>
    </row>
    <row r="17" spans="1:14" x14ac:dyDescent="0.2">
      <c r="A17" s="32"/>
      <c r="B17" s="31">
        <v>8</v>
      </c>
      <c r="C17" s="32" t="s">
        <v>38</v>
      </c>
      <c r="D17" s="33">
        <v>3.837608261159227</v>
      </c>
      <c r="E17" s="33">
        <v>109.66239173884077</v>
      </c>
      <c r="F17" s="33">
        <v>113.5</v>
      </c>
      <c r="G17" s="34">
        <f t="shared" si="0"/>
        <v>2.3956266621638737E-3</v>
      </c>
      <c r="H17" s="1">
        <f>G17*2892</f>
        <v>6.9281523069779229</v>
      </c>
      <c r="I17" s="35">
        <v>7</v>
      </c>
      <c r="J17" s="36"/>
      <c r="K17" s="1">
        <f>G17*1670</f>
        <v>4.0006965258136695</v>
      </c>
      <c r="L17" s="35">
        <v>4</v>
      </c>
      <c r="M17" s="36"/>
      <c r="N17" s="36"/>
    </row>
    <row r="18" spans="1:14" x14ac:dyDescent="0.2">
      <c r="A18" s="32"/>
      <c r="B18" s="31">
        <v>9</v>
      </c>
      <c r="C18" s="32" t="s">
        <v>39</v>
      </c>
      <c r="D18" s="33">
        <v>0</v>
      </c>
      <c r="E18" s="33">
        <v>373</v>
      </c>
      <c r="F18" s="33">
        <v>373</v>
      </c>
      <c r="G18" s="34">
        <f t="shared" si="0"/>
        <v>7.8728523787411873E-3</v>
      </c>
      <c r="H18" s="1">
        <v>59</v>
      </c>
      <c r="I18" s="35">
        <v>59</v>
      </c>
      <c r="J18" s="36">
        <f>23+36</f>
        <v>59</v>
      </c>
      <c r="K18" s="1">
        <v>0</v>
      </c>
      <c r="L18" s="35">
        <v>0</v>
      </c>
      <c r="M18" s="36">
        <f>13-13</f>
        <v>0</v>
      </c>
      <c r="N18" s="36" t="s">
        <v>40</v>
      </c>
    </row>
    <row r="19" spans="1:14" x14ac:dyDescent="0.2">
      <c r="A19" s="32"/>
      <c r="B19" s="31">
        <v>10</v>
      </c>
      <c r="C19" s="32" t="s">
        <v>41</v>
      </c>
      <c r="D19" s="33">
        <v>138.70212715332636</v>
      </c>
      <c r="E19" s="33">
        <v>47.797872846673641</v>
      </c>
      <c r="F19" s="33">
        <v>186.5</v>
      </c>
      <c r="G19" s="34">
        <f t="shared" si="0"/>
        <v>3.9364261893705937E-3</v>
      </c>
      <c r="H19" s="1">
        <f>G19*2892</f>
        <v>11.384144539659756</v>
      </c>
      <c r="I19" s="35">
        <v>11</v>
      </c>
      <c r="J19" s="36"/>
      <c r="K19" s="1">
        <f>G19*1670</f>
        <v>6.5738317362488914</v>
      </c>
      <c r="L19" s="35">
        <v>7</v>
      </c>
      <c r="M19" s="36"/>
      <c r="N19" s="36"/>
    </row>
    <row r="20" spans="1:14" x14ac:dyDescent="0.2">
      <c r="A20" s="32"/>
      <c r="B20" s="31">
        <v>11</v>
      </c>
      <c r="C20" s="32" t="s">
        <v>42</v>
      </c>
      <c r="D20" s="33">
        <v>0</v>
      </c>
      <c r="E20" s="33">
        <v>247</v>
      </c>
      <c r="F20" s="33">
        <v>247</v>
      </c>
      <c r="G20" s="34">
        <f t="shared" si="0"/>
        <v>5.2133901810967114E-3</v>
      </c>
      <c r="H20" s="1">
        <f>G20*2892</f>
        <v>15.077124403731689</v>
      </c>
      <c r="I20" s="35">
        <v>15</v>
      </c>
      <c r="J20" s="36"/>
      <c r="K20" s="1">
        <f>G20*1670</f>
        <v>8.7063616024315085</v>
      </c>
      <c r="L20" s="35">
        <v>9</v>
      </c>
      <c r="M20" s="36"/>
      <c r="N20" s="36"/>
    </row>
    <row r="21" spans="1:14" x14ac:dyDescent="0.2">
      <c r="A21" s="32"/>
      <c r="B21" s="31">
        <v>12</v>
      </c>
      <c r="C21" s="32" t="s">
        <v>43</v>
      </c>
      <c r="D21" s="33">
        <v>455.57892357475964</v>
      </c>
      <c r="E21" s="33">
        <v>237.92107642524036</v>
      </c>
      <c r="F21" s="33">
        <v>693.5</v>
      </c>
      <c r="G21" s="34">
        <f t="shared" si="0"/>
        <v>1.4637595508463844E-2</v>
      </c>
      <c r="H21" s="1">
        <f>G21*2892</f>
        <v>42.331926210477434</v>
      </c>
      <c r="I21" s="35">
        <v>42</v>
      </c>
      <c r="J21" s="36"/>
      <c r="K21" s="1">
        <f>G21*1670</f>
        <v>24.44478449913462</v>
      </c>
      <c r="L21" s="35">
        <v>24</v>
      </c>
      <c r="M21" s="36"/>
      <c r="N21" s="36"/>
    </row>
    <row r="22" spans="1:14" s="22" customFormat="1" ht="15.75" x14ac:dyDescent="0.25">
      <c r="A22" s="23" t="s">
        <v>44</v>
      </c>
      <c r="B22" s="40"/>
      <c r="C22" s="40">
        <v>14</v>
      </c>
      <c r="D22" s="41">
        <v>10693.111658894071</v>
      </c>
      <c r="E22" s="41">
        <v>12058.398341105929</v>
      </c>
      <c r="F22" s="41">
        <v>22751.510000000002</v>
      </c>
      <c r="G22" s="42"/>
      <c r="H22" s="28"/>
      <c r="I22" s="28">
        <f>SUM(I23:I36)</f>
        <v>1390</v>
      </c>
      <c r="J22" s="28"/>
      <c r="K22" s="43"/>
      <c r="L22" s="28">
        <f>SUM(L23:L36)</f>
        <v>801</v>
      </c>
      <c r="M22" s="36"/>
      <c r="N22" s="36"/>
    </row>
    <row r="23" spans="1:14" x14ac:dyDescent="0.2">
      <c r="A23" s="32"/>
      <c r="B23" s="31">
        <v>1</v>
      </c>
      <c r="C23" s="32" t="s">
        <v>45</v>
      </c>
      <c r="D23" s="33">
        <v>10.964595031883507</v>
      </c>
      <c r="E23" s="33">
        <v>885.45540496811645</v>
      </c>
      <c r="F23" s="33">
        <v>896.42</v>
      </c>
      <c r="G23" s="34">
        <f t="shared" ref="G23:G36" si="1">F23/47378</f>
        <v>1.8920596057241758E-2</v>
      </c>
      <c r="H23" s="1">
        <f t="shared" ref="H23:H36" si="2">G23*2892</f>
        <v>54.718363797543162</v>
      </c>
      <c r="I23" s="35">
        <v>55</v>
      </c>
      <c r="J23" s="36"/>
      <c r="K23" s="1">
        <f t="shared" ref="K23:K36" si="3">G23*1670</f>
        <v>31.597395415593734</v>
      </c>
      <c r="L23" s="35">
        <v>32</v>
      </c>
      <c r="M23" s="36"/>
      <c r="N23" s="36"/>
    </row>
    <row r="24" spans="1:14" x14ac:dyDescent="0.2">
      <c r="A24" s="32"/>
      <c r="B24" s="31">
        <v>2</v>
      </c>
      <c r="C24" s="32" t="s">
        <v>46</v>
      </c>
      <c r="D24" s="33">
        <v>32.893785095650514</v>
      </c>
      <c r="E24" s="33">
        <v>691.75621490434946</v>
      </c>
      <c r="F24" s="33">
        <v>724.65</v>
      </c>
      <c r="G24" s="34">
        <f t="shared" si="1"/>
        <v>1.5295073662881506E-2</v>
      </c>
      <c r="H24" s="1">
        <f t="shared" si="2"/>
        <v>44.233353033053312</v>
      </c>
      <c r="I24" s="35">
        <v>44</v>
      </c>
      <c r="J24" s="36"/>
      <c r="K24" s="1">
        <f t="shared" si="3"/>
        <v>25.542773017012117</v>
      </c>
      <c r="L24" s="35">
        <v>26</v>
      </c>
      <c r="M24" s="36"/>
      <c r="N24" s="36"/>
    </row>
    <row r="25" spans="1:14" x14ac:dyDescent="0.2">
      <c r="A25" s="32"/>
      <c r="B25" s="31">
        <v>3</v>
      </c>
      <c r="C25" s="32" t="s">
        <v>47</v>
      </c>
      <c r="D25" s="33">
        <v>197.03377272294659</v>
      </c>
      <c r="E25" s="33">
        <v>127.45622727705342</v>
      </c>
      <c r="F25" s="33">
        <v>324.49</v>
      </c>
      <c r="G25" s="34">
        <f t="shared" si="1"/>
        <v>6.8489594326480649E-3</v>
      </c>
      <c r="H25" s="1">
        <f t="shared" si="2"/>
        <v>19.807190679218202</v>
      </c>
      <c r="I25" s="35">
        <v>20</v>
      </c>
      <c r="J25" s="36"/>
      <c r="K25" s="1">
        <f t="shared" si="3"/>
        <v>11.437762252522269</v>
      </c>
      <c r="L25" s="35">
        <v>11</v>
      </c>
      <c r="M25" s="36"/>
      <c r="N25" s="36"/>
    </row>
    <row r="26" spans="1:14" x14ac:dyDescent="0.2">
      <c r="A26" s="32"/>
      <c r="B26" s="31">
        <v>4</v>
      </c>
      <c r="C26" s="32" t="s">
        <v>48</v>
      </c>
      <c r="D26" s="33">
        <v>2768.5602455505855</v>
      </c>
      <c r="E26" s="33">
        <v>46.869754449414359</v>
      </c>
      <c r="F26" s="33">
        <v>2815.43</v>
      </c>
      <c r="G26" s="34">
        <f t="shared" si="1"/>
        <v>5.9424838532652284E-2</v>
      </c>
      <c r="H26" s="1">
        <f t="shared" si="2"/>
        <v>171.8566330364304</v>
      </c>
      <c r="I26" s="35">
        <v>172</v>
      </c>
      <c r="J26" s="36"/>
      <c r="K26" s="1">
        <f t="shared" si="3"/>
        <v>99.239480349529316</v>
      </c>
      <c r="L26" s="35">
        <v>99</v>
      </c>
      <c r="M26" s="36"/>
      <c r="N26" s="36"/>
    </row>
    <row r="27" spans="1:14" x14ac:dyDescent="0.2">
      <c r="A27" s="32"/>
      <c r="B27" s="31">
        <v>5</v>
      </c>
      <c r="C27" s="32" t="s">
        <v>49</v>
      </c>
      <c r="D27" s="33">
        <v>99.448876939183407</v>
      </c>
      <c r="E27" s="33">
        <v>597.07112306081672</v>
      </c>
      <c r="F27" s="33">
        <v>696.5200000000001</v>
      </c>
      <c r="G27" s="34">
        <f t="shared" si="1"/>
        <v>1.4701338173835959E-2</v>
      </c>
      <c r="H27" s="1">
        <f t="shared" si="2"/>
        <v>42.516269998733591</v>
      </c>
      <c r="I27" s="35">
        <v>43</v>
      </c>
      <c r="J27" s="36"/>
      <c r="K27" s="1">
        <f t="shared" si="3"/>
        <v>24.551234750306051</v>
      </c>
      <c r="L27" s="35">
        <v>25</v>
      </c>
      <c r="M27" s="36"/>
      <c r="N27" s="36"/>
    </row>
    <row r="28" spans="1:14" x14ac:dyDescent="0.2">
      <c r="A28" s="32"/>
      <c r="B28" s="31">
        <v>6</v>
      </c>
      <c r="C28" s="32" t="s">
        <v>50</v>
      </c>
      <c r="D28" s="33">
        <v>15.898662796231084</v>
      </c>
      <c r="E28" s="33">
        <v>396.60133720376894</v>
      </c>
      <c r="F28" s="33">
        <v>412.5</v>
      </c>
      <c r="G28" s="34">
        <f t="shared" si="1"/>
        <v>8.7065726708598929E-3</v>
      </c>
      <c r="H28" s="1">
        <f t="shared" si="2"/>
        <v>25.179408164126809</v>
      </c>
      <c r="I28" s="35">
        <v>25</v>
      </c>
      <c r="J28" s="36"/>
      <c r="K28" s="1">
        <f t="shared" si="3"/>
        <v>14.539976360336022</v>
      </c>
      <c r="L28" s="35">
        <v>15</v>
      </c>
      <c r="M28" s="36"/>
      <c r="N28" s="36"/>
    </row>
    <row r="29" spans="1:14" x14ac:dyDescent="0.2">
      <c r="A29" s="32"/>
      <c r="B29" s="31">
        <v>7</v>
      </c>
      <c r="C29" s="32" t="s">
        <v>51</v>
      </c>
      <c r="D29" s="33">
        <v>196.26625107071476</v>
      </c>
      <c r="E29" s="33">
        <v>350.73374892928524</v>
      </c>
      <c r="F29" s="33">
        <v>547</v>
      </c>
      <c r="G29" s="34">
        <f t="shared" si="1"/>
        <v>1.154544303263118E-2</v>
      </c>
      <c r="H29" s="1">
        <f t="shared" si="2"/>
        <v>33.389421250369374</v>
      </c>
      <c r="I29" s="35">
        <v>33</v>
      </c>
      <c r="J29" s="36"/>
      <c r="K29" s="1">
        <f t="shared" si="3"/>
        <v>19.280889864494071</v>
      </c>
      <c r="L29" s="35">
        <v>19</v>
      </c>
      <c r="M29" s="36"/>
      <c r="N29" s="36"/>
    </row>
    <row r="30" spans="1:14" x14ac:dyDescent="0.2">
      <c r="A30" s="32"/>
      <c r="B30" s="31">
        <v>8</v>
      </c>
      <c r="C30" s="32" t="s">
        <v>52</v>
      </c>
      <c r="D30" s="33">
        <v>0</v>
      </c>
      <c r="E30" s="33">
        <v>325</v>
      </c>
      <c r="F30" s="33">
        <v>325</v>
      </c>
      <c r="G30" s="34">
        <f t="shared" si="1"/>
        <v>6.8597239224956735E-3</v>
      </c>
      <c r="H30" s="1">
        <f t="shared" si="2"/>
        <v>19.838321583857489</v>
      </c>
      <c r="I30" s="35">
        <v>20</v>
      </c>
      <c r="J30" s="36"/>
      <c r="K30" s="1">
        <f t="shared" si="3"/>
        <v>11.455738950567774</v>
      </c>
      <c r="L30" s="35">
        <v>11</v>
      </c>
      <c r="M30" s="36"/>
      <c r="N30" s="36"/>
    </row>
    <row r="31" spans="1:14" x14ac:dyDescent="0.2">
      <c r="A31" s="32"/>
      <c r="B31" s="31">
        <v>9</v>
      </c>
      <c r="C31" s="32" t="s">
        <v>53</v>
      </c>
      <c r="D31" s="33">
        <v>188.59103454839629</v>
      </c>
      <c r="E31" s="33">
        <v>530.40896545160376</v>
      </c>
      <c r="F31" s="33">
        <v>719</v>
      </c>
      <c r="G31" s="34">
        <f t="shared" si="1"/>
        <v>1.5175820000844274E-2</v>
      </c>
      <c r="H31" s="1">
        <f t="shared" si="2"/>
        <v>43.888471442441642</v>
      </c>
      <c r="I31" s="35">
        <v>44</v>
      </c>
      <c r="J31" s="36"/>
      <c r="K31" s="1">
        <f t="shared" si="3"/>
        <v>25.343619401409939</v>
      </c>
      <c r="L31" s="35">
        <v>25</v>
      </c>
      <c r="M31" s="36"/>
      <c r="N31" s="36"/>
    </row>
    <row r="32" spans="1:14" x14ac:dyDescent="0.2">
      <c r="A32" s="32"/>
      <c r="B32" s="31">
        <v>10</v>
      </c>
      <c r="C32" s="32" t="s">
        <v>54</v>
      </c>
      <c r="D32" s="33">
        <v>29.056176834491293</v>
      </c>
      <c r="E32" s="33">
        <v>376.44382316550872</v>
      </c>
      <c r="F32" s="33">
        <v>405.5</v>
      </c>
      <c r="G32" s="34">
        <f t="shared" si="1"/>
        <v>8.5588247709907552E-3</v>
      </c>
      <c r="H32" s="1">
        <f t="shared" si="2"/>
        <v>24.752121237705264</v>
      </c>
      <c r="I32" s="35">
        <v>25</v>
      </c>
      <c r="J32" s="36"/>
      <c r="K32" s="1">
        <f t="shared" si="3"/>
        <v>14.293237367554561</v>
      </c>
      <c r="L32" s="35">
        <v>14</v>
      </c>
      <c r="M32" s="36"/>
      <c r="N32" s="36"/>
    </row>
    <row r="33" spans="1:18" x14ac:dyDescent="0.2">
      <c r="A33" s="32"/>
      <c r="B33" s="31">
        <v>11</v>
      </c>
      <c r="C33" s="32" t="s">
        <v>55</v>
      </c>
      <c r="D33" s="33">
        <v>1741.1776910631008</v>
      </c>
      <c r="E33" s="33">
        <v>540.82230893689916</v>
      </c>
      <c r="F33" s="33">
        <v>2282</v>
      </c>
      <c r="G33" s="34">
        <f t="shared" si="1"/>
        <v>4.8165815357338847E-2</v>
      </c>
      <c r="H33" s="1">
        <f t="shared" si="2"/>
        <v>139.29553801342394</v>
      </c>
      <c r="I33" s="35">
        <v>140</v>
      </c>
      <c r="J33" s="36"/>
      <c r="K33" s="1">
        <f t="shared" si="3"/>
        <v>80.436911646755874</v>
      </c>
      <c r="L33" s="35">
        <v>80</v>
      </c>
      <c r="M33" s="36"/>
      <c r="N33" s="36"/>
    </row>
    <row r="34" spans="1:18" x14ac:dyDescent="0.2">
      <c r="A34" s="32"/>
      <c r="B34" s="31">
        <v>12</v>
      </c>
      <c r="C34" s="32" t="s">
        <v>56</v>
      </c>
      <c r="D34" s="33">
        <v>286.72416008375365</v>
      </c>
      <c r="E34" s="33">
        <v>2448.7758399162462</v>
      </c>
      <c r="F34" s="33">
        <v>2735.5</v>
      </c>
      <c r="G34" s="34">
        <f t="shared" si="1"/>
        <v>5.7737768584575119E-2</v>
      </c>
      <c r="H34" s="1">
        <f t="shared" si="2"/>
        <v>166.97762674659126</v>
      </c>
      <c r="I34" s="35">
        <v>167</v>
      </c>
      <c r="J34" s="36"/>
      <c r="K34" s="1">
        <f t="shared" si="3"/>
        <v>96.422073536240447</v>
      </c>
      <c r="L34" s="35">
        <v>96</v>
      </c>
      <c r="M34" s="36"/>
      <c r="N34" s="36"/>
    </row>
    <row r="35" spans="1:18" x14ac:dyDescent="0.2">
      <c r="A35" s="32"/>
      <c r="B35" s="31">
        <v>13</v>
      </c>
      <c r="C35" s="32" t="s">
        <v>57</v>
      </c>
      <c r="D35" s="33">
        <v>590.44344246692674</v>
      </c>
      <c r="E35" s="33">
        <v>3212.0565575330734</v>
      </c>
      <c r="F35" s="33">
        <v>3802.5</v>
      </c>
      <c r="G35" s="34">
        <f t="shared" si="1"/>
        <v>8.0258769893199369E-2</v>
      </c>
      <c r="H35" s="1">
        <f t="shared" si="2"/>
        <v>232.10836253113257</v>
      </c>
      <c r="I35" s="35">
        <v>232</v>
      </c>
      <c r="J35" s="36"/>
      <c r="K35" s="1">
        <f t="shared" si="3"/>
        <v>134.03214572164293</v>
      </c>
      <c r="L35" s="35">
        <v>134</v>
      </c>
      <c r="M35" s="36"/>
      <c r="N35" s="36"/>
    </row>
    <row r="36" spans="1:18" x14ac:dyDescent="0.2">
      <c r="A36" s="32"/>
      <c r="B36" s="31">
        <v>14</v>
      </c>
      <c r="C36" s="32" t="s">
        <v>58</v>
      </c>
      <c r="D36" s="33">
        <v>4536.0529646902069</v>
      </c>
      <c r="E36" s="33">
        <v>1528.9470353097931</v>
      </c>
      <c r="F36" s="33">
        <v>6065</v>
      </c>
      <c r="G36" s="34">
        <f t="shared" si="1"/>
        <v>0.12801300181518849</v>
      </c>
      <c r="H36" s="1">
        <f t="shared" si="2"/>
        <v>370.21360124952508</v>
      </c>
      <c r="I36" s="35">
        <v>370</v>
      </c>
      <c r="J36" s="36"/>
      <c r="K36" s="1">
        <f t="shared" si="3"/>
        <v>213.78171303136477</v>
      </c>
      <c r="L36" s="35">
        <v>214</v>
      </c>
      <c r="M36" s="36"/>
      <c r="N36" s="36"/>
    </row>
    <row r="37" spans="1:18" s="22" customFormat="1" ht="15.75" x14ac:dyDescent="0.25">
      <c r="A37" s="23" t="s">
        <v>59</v>
      </c>
      <c r="B37" s="40"/>
      <c r="C37" s="40">
        <v>19</v>
      </c>
      <c r="D37" s="41">
        <v>11206.364352336535</v>
      </c>
      <c r="E37" s="41">
        <v>8050.1356476634619</v>
      </c>
      <c r="F37" s="41">
        <v>19256.5</v>
      </c>
      <c r="G37" s="42"/>
      <c r="H37" s="43"/>
      <c r="I37" s="28">
        <f>SUM(I38:I56)</f>
        <v>1177</v>
      </c>
      <c r="J37" s="28"/>
      <c r="K37" s="43"/>
      <c r="L37" s="28">
        <f>SUM(L38:L56)</f>
        <v>680</v>
      </c>
      <c r="M37" s="36"/>
      <c r="N37" s="36"/>
    </row>
    <row r="38" spans="1:18" x14ac:dyDescent="0.2">
      <c r="A38" s="32"/>
      <c r="B38" s="31">
        <v>1</v>
      </c>
      <c r="C38" s="32" t="s">
        <v>60</v>
      </c>
      <c r="D38" s="33">
        <v>1436.3619491767392</v>
      </c>
      <c r="E38" s="33">
        <v>764.63805082326076</v>
      </c>
      <c r="F38" s="33">
        <v>2201</v>
      </c>
      <c r="G38" s="34">
        <f t="shared" ref="G38:G56" si="4">F38/47378</f>
        <v>4.6456161087424543E-2</v>
      </c>
      <c r="H38" s="1">
        <f t="shared" ref="H38:H56" si="5">G38*2892</f>
        <v>134.35121786483177</v>
      </c>
      <c r="I38" s="35">
        <v>134</v>
      </c>
      <c r="J38" s="36"/>
      <c r="K38" s="1">
        <f t="shared" ref="K38:K56" si="6">G38*1670</f>
        <v>77.581789015998993</v>
      </c>
      <c r="L38" s="35">
        <v>78</v>
      </c>
      <c r="M38" s="36"/>
      <c r="N38" s="36"/>
    </row>
    <row r="39" spans="1:18" x14ac:dyDescent="0.2">
      <c r="A39" s="32"/>
      <c r="B39" s="31">
        <v>2</v>
      </c>
      <c r="C39" s="32" t="s">
        <v>61</v>
      </c>
      <c r="D39" s="33">
        <v>21.929190063767013</v>
      </c>
      <c r="E39" s="33">
        <v>61.07080993623299</v>
      </c>
      <c r="F39" s="33">
        <v>83</v>
      </c>
      <c r="G39" s="34">
        <f t="shared" si="4"/>
        <v>1.7518679555912026E-3</v>
      </c>
      <c r="H39" s="1">
        <f t="shared" si="5"/>
        <v>5.0664021275697575</v>
      </c>
      <c r="I39" s="35">
        <v>5</v>
      </c>
      <c r="J39" s="36"/>
      <c r="K39" s="1">
        <f t="shared" si="6"/>
        <v>2.9256194858373084</v>
      </c>
      <c r="L39" s="35">
        <v>3</v>
      </c>
      <c r="M39" s="36"/>
      <c r="N39" s="36"/>
    </row>
    <row r="40" spans="1:18" x14ac:dyDescent="0.2">
      <c r="A40" s="32"/>
      <c r="B40" s="31">
        <v>3</v>
      </c>
      <c r="C40" s="32" t="s">
        <v>62</v>
      </c>
      <c r="D40" s="33">
        <v>165.56538498144096</v>
      </c>
      <c r="E40" s="33">
        <v>813.43461501855904</v>
      </c>
      <c r="F40" s="33">
        <v>979</v>
      </c>
      <c r="G40" s="34">
        <f t="shared" si="4"/>
        <v>2.0663599138840812E-2</v>
      </c>
      <c r="H40" s="1">
        <f t="shared" si="5"/>
        <v>59.75912870952763</v>
      </c>
      <c r="I40" s="35">
        <v>60</v>
      </c>
      <c r="J40" s="36"/>
      <c r="K40" s="1">
        <f t="shared" si="6"/>
        <v>34.508210561864153</v>
      </c>
      <c r="L40" s="35">
        <v>35</v>
      </c>
      <c r="M40" s="36"/>
      <c r="N40" s="36"/>
    </row>
    <row r="41" spans="1:18" s="44" customFormat="1" x14ac:dyDescent="0.2">
      <c r="A41" s="32"/>
      <c r="B41" s="31">
        <v>4</v>
      </c>
      <c r="C41" s="32" t="s">
        <v>63</v>
      </c>
      <c r="D41" s="33">
        <v>811.92826211097361</v>
      </c>
      <c r="E41" s="33">
        <v>109.57173788902639</v>
      </c>
      <c r="F41" s="33">
        <v>921.5</v>
      </c>
      <c r="G41" s="34">
        <f t="shared" si="4"/>
        <v>1.9449955675630039E-2</v>
      </c>
      <c r="H41" s="1">
        <f t="shared" si="5"/>
        <v>56.249271813922071</v>
      </c>
      <c r="I41" s="35">
        <v>56</v>
      </c>
      <c r="J41" s="36"/>
      <c r="K41" s="1">
        <f t="shared" si="6"/>
        <v>32.481425978302163</v>
      </c>
      <c r="L41" s="35">
        <v>32</v>
      </c>
      <c r="M41" s="36"/>
      <c r="N41" s="36"/>
      <c r="O41" s="2"/>
      <c r="P41" s="2"/>
      <c r="Q41" s="2"/>
      <c r="R41" s="2"/>
    </row>
    <row r="42" spans="1:18" s="44" customFormat="1" x14ac:dyDescent="0.2">
      <c r="A42" s="32"/>
      <c r="B42" s="31">
        <v>5</v>
      </c>
      <c r="C42" s="32" t="s">
        <v>64</v>
      </c>
      <c r="D42" s="33">
        <v>1485.7026268202151</v>
      </c>
      <c r="E42" s="33">
        <v>181.29737317978493</v>
      </c>
      <c r="F42" s="33">
        <v>1667</v>
      </c>
      <c r="G42" s="34">
        <f t="shared" si="4"/>
        <v>3.5185107011693188E-2</v>
      </c>
      <c r="H42" s="1">
        <f t="shared" si="5"/>
        <v>101.7553294778167</v>
      </c>
      <c r="I42" s="35">
        <v>102</v>
      </c>
      <c r="J42" s="36"/>
      <c r="K42" s="1">
        <f t="shared" si="6"/>
        <v>58.759128709527623</v>
      </c>
      <c r="L42" s="35">
        <v>59</v>
      </c>
      <c r="M42" s="36"/>
      <c r="N42" s="36"/>
      <c r="O42" s="2"/>
      <c r="P42" s="2"/>
      <c r="Q42" s="2"/>
      <c r="R42" s="2"/>
    </row>
    <row r="43" spans="1:18" s="44" customFormat="1" x14ac:dyDescent="0.2">
      <c r="A43" s="32"/>
      <c r="B43" s="31">
        <v>6</v>
      </c>
      <c r="C43" s="32" t="s">
        <v>65</v>
      </c>
      <c r="D43" s="33">
        <v>803.70481583706101</v>
      </c>
      <c r="E43" s="33">
        <v>2082.2951841629392</v>
      </c>
      <c r="F43" s="33">
        <v>2886</v>
      </c>
      <c r="G43" s="34">
        <f t="shared" si="4"/>
        <v>6.0914348431761578E-2</v>
      </c>
      <c r="H43" s="1">
        <f t="shared" si="5"/>
        <v>176.16429566465447</v>
      </c>
      <c r="I43" s="35">
        <v>176</v>
      </c>
      <c r="J43" s="36"/>
      <c r="K43" s="1">
        <f t="shared" si="6"/>
        <v>101.72696188104183</v>
      </c>
      <c r="L43" s="35">
        <v>102</v>
      </c>
      <c r="M43" s="36"/>
      <c r="N43" s="36"/>
      <c r="O43" s="2"/>
      <c r="P43" s="2"/>
      <c r="Q43" s="2"/>
      <c r="R43" s="2"/>
    </row>
    <row r="44" spans="1:18" s="44" customFormat="1" x14ac:dyDescent="0.2">
      <c r="A44" s="32"/>
      <c r="B44" s="31">
        <v>7</v>
      </c>
      <c r="C44" s="32" t="s">
        <v>66</v>
      </c>
      <c r="D44" s="33">
        <v>200.65208908346816</v>
      </c>
      <c r="E44" s="33">
        <v>126.34791091653184</v>
      </c>
      <c r="F44" s="33">
        <v>327</v>
      </c>
      <c r="G44" s="34">
        <f t="shared" si="4"/>
        <v>6.9019376081725699E-3</v>
      </c>
      <c r="H44" s="1">
        <f t="shared" si="5"/>
        <v>19.960403562835072</v>
      </c>
      <c r="I44" s="35">
        <v>20</v>
      </c>
      <c r="J44" s="36"/>
      <c r="K44" s="1">
        <f t="shared" si="6"/>
        <v>11.526235805648192</v>
      </c>
      <c r="L44" s="35">
        <v>12</v>
      </c>
      <c r="M44" s="36"/>
      <c r="N44" s="36"/>
      <c r="O44" s="2"/>
      <c r="P44" s="2"/>
      <c r="Q44" s="2"/>
      <c r="R44" s="2"/>
    </row>
    <row r="45" spans="1:18" s="44" customFormat="1" x14ac:dyDescent="0.2">
      <c r="A45" s="32"/>
      <c r="B45" s="31">
        <v>8</v>
      </c>
      <c r="C45" s="32" t="s">
        <v>67</v>
      </c>
      <c r="D45" s="33">
        <v>581.12353668982587</v>
      </c>
      <c r="E45" s="33">
        <v>198.87646331017413</v>
      </c>
      <c r="F45" s="33">
        <v>780</v>
      </c>
      <c r="G45" s="34">
        <f t="shared" si="4"/>
        <v>1.6463337413989615E-2</v>
      </c>
      <c r="H45" s="1">
        <f t="shared" si="5"/>
        <v>47.611971801257965</v>
      </c>
      <c r="I45" s="35">
        <v>48</v>
      </c>
      <c r="J45" s="36"/>
      <c r="K45" s="1">
        <f t="shared" si="6"/>
        <v>27.493773481362656</v>
      </c>
      <c r="L45" s="35">
        <v>27</v>
      </c>
      <c r="M45" s="36"/>
      <c r="N45" s="36"/>
      <c r="O45" s="2"/>
      <c r="P45" s="2"/>
      <c r="Q45" s="2"/>
      <c r="R45" s="2"/>
    </row>
    <row r="46" spans="1:18" s="44" customFormat="1" x14ac:dyDescent="0.2">
      <c r="A46" s="32"/>
      <c r="B46" s="31">
        <v>9</v>
      </c>
      <c r="C46" s="32" t="s">
        <v>68</v>
      </c>
      <c r="D46" s="33">
        <v>578.38238793185496</v>
      </c>
      <c r="E46" s="33">
        <v>113.11761206814504</v>
      </c>
      <c r="F46" s="33">
        <v>691.5</v>
      </c>
      <c r="G46" s="34">
        <f t="shared" si="4"/>
        <v>1.4595381822786947E-2</v>
      </c>
      <c r="H46" s="1">
        <f t="shared" si="5"/>
        <v>42.209844231499851</v>
      </c>
      <c r="I46" s="35">
        <v>42</v>
      </c>
      <c r="J46" s="36"/>
      <c r="K46" s="1">
        <f t="shared" si="6"/>
        <v>24.374287644054203</v>
      </c>
      <c r="L46" s="35">
        <v>24</v>
      </c>
      <c r="M46" s="36"/>
      <c r="N46" s="36"/>
      <c r="O46" s="2"/>
      <c r="P46" s="2"/>
      <c r="Q46" s="2"/>
      <c r="R46" s="2"/>
    </row>
    <row r="47" spans="1:18" s="44" customFormat="1" x14ac:dyDescent="0.2">
      <c r="A47" s="32"/>
      <c r="B47" s="31">
        <v>10</v>
      </c>
      <c r="C47" s="32" t="s">
        <v>69</v>
      </c>
      <c r="D47" s="33">
        <v>329.48608070809939</v>
      </c>
      <c r="E47" s="33">
        <v>525.01391929190061</v>
      </c>
      <c r="F47" s="33">
        <v>854.5</v>
      </c>
      <c r="G47" s="34">
        <f t="shared" si="4"/>
        <v>1.8035797205454007E-2</v>
      </c>
      <c r="H47" s="1">
        <f t="shared" si="5"/>
        <v>52.159525518172991</v>
      </c>
      <c r="I47" s="35">
        <v>52</v>
      </c>
      <c r="J47" s="36"/>
      <c r="K47" s="1">
        <f t="shared" si="6"/>
        <v>30.119781333108193</v>
      </c>
      <c r="L47" s="35">
        <v>30</v>
      </c>
      <c r="M47" s="36"/>
      <c r="N47" s="36"/>
      <c r="O47" s="2"/>
      <c r="P47" s="2"/>
      <c r="Q47" s="2"/>
      <c r="R47" s="2"/>
    </row>
    <row r="48" spans="1:18" s="44" customFormat="1" x14ac:dyDescent="0.2">
      <c r="A48" s="32"/>
      <c r="B48" s="31">
        <v>11</v>
      </c>
      <c r="C48" s="32" t="s">
        <v>70</v>
      </c>
      <c r="D48" s="33">
        <v>393.08073189302371</v>
      </c>
      <c r="E48" s="33">
        <v>289.41926810697629</v>
      </c>
      <c r="F48" s="33">
        <v>682.5</v>
      </c>
      <c r="G48" s="34">
        <f t="shared" si="4"/>
        <v>1.4405420237240913E-2</v>
      </c>
      <c r="H48" s="1">
        <f t="shared" si="5"/>
        <v>41.660475326100723</v>
      </c>
      <c r="I48" s="35">
        <v>42</v>
      </c>
      <c r="J48" s="36"/>
      <c r="K48" s="1">
        <f t="shared" si="6"/>
        <v>24.057051796192326</v>
      </c>
      <c r="L48" s="35">
        <v>24</v>
      </c>
      <c r="M48" s="36"/>
      <c r="N48" s="36"/>
      <c r="O48" s="2"/>
      <c r="P48" s="2"/>
      <c r="Q48" s="2"/>
      <c r="R48" s="2"/>
    </row>
    <row r="49" spans="1:18" s="44" customFormat="1" x14ac:dyDescent="0.2">
      <c r="A49" s="32"/>
      <c r="B49" s="31">
        <v>12</v>
      </c>
      <c r="C49" s="32" t="s">
        <v>71</v>
      </c>
      <c r="D49" s="33">
        <v>37.279623108403925</v>
      </c>
      <c r="E49" s="33">
        <v>46.720376891596075</v>
      </c>
      <c r="F49" s="33">
        <v>84</v>
      </c>
      <c r="G49" s="34">
        <f t="shared" si="4"/>
        <v>1.7729747984296508E-3</v>
      </c>
      <c r="H49" s="1">
        <f t="shared" si="5"/>
        <v>5.1274431170585499</v>
      </c>
      <c r="I49" s="35">
        <v>5</v>
      </c>
      <c r="J49" s="36"/>
      <c r="K49" s="1">
        <f t="shared" si="6"/>
        <v>2.9608679133775166</v>
      </c>
      <c r="L49" s="35">
        <v>3</v>
      </c>
      <c r="M49" s="36"/>
      <c r="N49" s="36"/>
      <c r="O49" s="2"/>
      <c r="P49" s="2"/>
      <c r="Q49" s="2"/>
      <c r="R49" s="2"/>
    </row>
    <row r="50" spans="1:18" s="44" customFormat="1" x14ac:dyDescent="0.2">
      <c r="A50" s="32"/>
      <c r="B50" s="31">
        <v>13</v>
      </c>
      <c r="C50" s="32" t="s">
        <v>72</v>
      </c>
      <c r="D50" s="33">
        <v>66.884029694489385</v>
      </c>
      <c r="E50" s="33">
        <v>63.115970305510615</v>
      </c>
      <c r="F50" s="33">
        <v>130</v>
      </c>
      <c r="G50" s="34">
        <f t="shared" si="4"/>
        <v>2.7438895689982693E-3</v>
      </c>
      <c r="H50" s="1">
        <f t="shared" si="5"/>
        <v>7.9353286335429951</v>
      </c>
      <c r="I50" s="35">
        <v>8</v>
      </c>
      <c r="J50" s="36"/>
      <c r="K50" s="1">
        <f t="shared" si="6"/>
        <v>4.5822955802271101</v>
      </c>
      <c r="L50" s="35">
        <v>5</v>
      </c>
      <c r="M50" s="36"/>
      <c r="N50" s="36"/>
      <c r="O50" s="2"/>
      <c r="P50" s="2"/>
      <c r="Q50" s="2"/>
      <c r="R50" s="2"/>
    </row>
    <row r="51" spans="1:18" s="44" customFormat="1" x14ac:dyDescent="0.2">
      <c r="A51" s="32"/>
      <c r="B51" s="31">
        <v>14</v>
      </c>
      <c r="C51" s="32" t="s">
        <v>73</v>
      </c>
      <c r="D51" s="33">
        <v>131.57514038260206</v>
      </c>
      <c r="E51" s="33">
        <v>293.42485961739794</v>
      </c>
      <c r="F51" s="33">
        <v>425</v>
      </c>
      <c r="G51" s="34">
        <f t="shared" si="4"/>
        <v>8.9704082063404959E-3</v>
      </c>
      <c r="H51" s="1">
        <f t="shared" si="5"/>
        <v>25.942420532736715</v>
      </c>
      <c r="I51" s="35">
        <v>26</v>
      </c>
      <c r="J51" s="36"/>
      <c r="K51" s="1">
        <f t="shared" si="6"/>
        <v>14.980581704588628</v>
      </c>
      <c r="L51" s="35">
        <v>15</v>
      </c>
      <c r="M51" s="36"/>
      <c r="N51" s="36"/>
      <c r="O51" s="2"/>
      <c r="P51" s="2"/>
      <c r="Q51" s="2"/>
      <c r="R51" s="2"/>
    </row>
    <row r="52" spans="1:18" s="44" customFormat="1" x14ac:dyDescent="0.2">
      <c r="A52" s="32"/>
      <c r="B52" s="31">
        <v>15</v>
      </c>
      <c r="C52" s="32" t="s">
        <v>74</v>
      </c>
      <c r="D52" s="33">
        <v>124.4481536118778</v>
      </c>
      <c r="E52" s="33">
        <v>1011.0518463881222</v>
      </c>
      <c r="F52" s="33">
        <v>1135.5</v>
      </c>
      <c r="G52" s="34">
        <f t="shared" si="4"/>
        <v>2.396682004305796E-2</v>
      </c>
      <c r="H52" s="1">
        <f t="shared" si="5"/>
        <v>69.31204356452362</v>
      </c>
      <c r="I52" s="35">
        <v>70</v>
      </c>
      <c r="J52" s="36"/>
      <c r="K52" s="1">
        <f t="shared" si="6"/>
        <v>40.024589471906793</v>
      </c>
      <c r="L52" s="35">
        <v>40</v>
      </c>
      <c r="M52" s="36"/>
      <c r="N52" s="36"/>
      <c r="O52" s="2"/>
      <c r="P52" s="2"/>
      <c r="Q52" s="2"/>
      <c r="R52" s="2"/>
    </row>
    <row r="53" spans="1:18" s="44" customFormat="1" x14ac:dyDescent="0.2">
      <c r="A53" s="32"/>
      <c r="B53" s="31">
        <v>16</v>
      </c>
      <c r="C53" s="32" t="s">
        <v>75</v>
      </c>
      <c r="D53" s="33">
        <v>2680.8434852955174</v>
      </c>
      <c r="E53" s="33">
        <v>174.15651470448256</v>
      </c>
      <c r="F53" s="33">
        <v>2855</v>
      </c>
      <c r="G53" s="34">
        <f t="shared" si="4"/>
        <v>6.0260036303769679E-2</v>
      </c>
      <c r="H53" s="1">
        <f t="shared" si="5"/>
        <v>174.2720249905019</v>
      </c>
      <c r="I53" s="35">
        <v>175</v>
      </c>
      <c r="J53" s="36"/>
      <c r="K53" s="1">
        <f t="shared" si="6"/>
        <v>100.63426062729536</v>
      </c>
      <c r="L53" s="35">
        <v>101</v>
      </c>
      <c r="M53" s="36"/>
      <c r="N53" s="36"/>
      <c r="O53" s="2"/>
      <c r="P53" s="2"/>
      <c r="Q53" s="2"/>
      <c r="R53" s="2"/>
    </row>
    <row r="54" spans="1:18" s="44" customFormat="1" x14ac:dyDescent="0.2">
      <c r="A54" s="32"/>
      <c r="B54" s="31">
        <v>17</v>
      </c>
      <c r="C54" s="32" t="s">
        <v>76</v>
      </c>
      <c r="D54" s="33">
        <v>21.929190063767013</v>
      </c>
      <c r="E54" s="33">
        <v>536.07080993623299</v>
      </c>
      <c r="F54" s="33">
        <v>558</v>
      </c>
      <c r="G54" s="34">
        <f t="shared" si="4"/>
        <v>1.1777618303854109E-2</v>
      </c>
      <c r="H54" s="1">
        <f t="shared" si="5"/>
        <v>34.060872134746084</v>
      </c>
      <c r="I54" s="35">
        <v>34</v>
      </c>
      <c r="J54" s="36"/>
      <c r="K54" s="1">
        <f t="shared" si="6"/>
        <v>19.668622567436362</v>
      </c>
      <c r="L54" s="35">
        <v>20</v>
      </c>
      <c r="M54" s="36"/>
      <c r="N54" s="36"/>
      <c r="O54" s="2"/>
      <c r="P54" s="2"/>
      <c r="Q54" s="2"/>
      <c r="R54" s="2"/>
    </row>
    <row r="55" spans="1:18" s="44" customFormat="1" x14ac:dyDescent="0.2">
      <c r="A55" s="32"/>
      <c r="B55" s="31">
        <v>18</v>
      </c>
      <c r="C55" s="32" t="s">
        <v>77</v>
      </c>
      <c r="D55" s="33">
        <v>840.98443894546494</v>
      </c>
      <c r="E55" s="33">
        <v>358.01556105453506</v>
      </c>
      <c r="F55" s="33">
        <v>1199</v>
      </c>
      <c r="G55" s="34">
        <f t="shared" si="4"/>
        <v>2.5307104563299421E-2</v>
      </c>
      <c r="H55" s="1">
        <f t="shared" si="5"/>
        <v>73.188146397061928</v>
      </c>
      <c r="I55" s="35">
        <v>73</v>
      </c>
      <c r="J55" s="36"/>
      <c r="K55" s="1">
        <f t="shared" si="6"/>
        <v>42.262864620710033</v>
      </c>
      <c r="L55" s="35">
        <v>42</v>
      </c>
      <c r="M55" s="36"/>
      <c r="N55" s="36"/>
      <c r="O55" s="2"/>
      <c r="P55" s="2"/>
      <c r="Q55" s="2"/>
      <c r="R55" s="2"/>
    </row>
    <row r="56" spans="1:18" s="44" customFormat="1" x14ac:dyDescent="0.2">
      <c r="A56" s="32"/>
      <c r="B56" s="31">
        <v>19</v>
      </c>
      <c r="C56" s="32" t="s">
        <v>78</v>
      </c>
      <c r="D56" s="33">
        <v>494.50323593794616</v>
      </c>
      <c r="E56" s="33">
        <v>302.49676406205384</v>
      </c>
      <c r="F56" s="33">
        <v>797</v>
      </c>
      <c r="G56" s="34">
        <f t="shared" si="4"/>
        <v>1.6822153742243235E-2</v>
      </c>
      <c r="H56" s="1">
        <f t="shared" si="5"/>
        <v>48.649668622567432</v>
      </c>
      <c r="I56" s="35">
        <v>49</v>
      </c>
      <c r="J56" s="36"/>
      <c r="K56" s="1">
        <f t="shared" si="6"/>
        <v>28.092996749546202</v>
      </c>
      <c r="L56" s="35">
        <v>28</v>
      </c>
      <c r="M56" s="36"/>
      <c r="N56" s="36"/>
      <c r="O56" s="2"/>
      <c r="P56" s="2"/>
      <c r="Q56" s="2"/>
      <c r="R56" s="2"/>
    </row>
    <row r="57" spans="1:18" s="45" customFormat="1" ht="14.45" customHeight="1" x14ac:dyDescent="0.25">
      <c r="D57" s="46"/>
      <c r="E57" s="46"/>
      <c r="F57" s="46"/>
      <c r="G57" s="4">
        <f>SUM(G10:G56)</f>
        <v>0.99998965764700931</v>
      </c>
      <c r="H57" s="47">
        <f>SUM(H10:H56)</f>
        <v>2891.8518915952554</v>
      </c>
      <c r="I57" s="48"/>
      <c r="J57" s="49"/>
      <c r="K57" s="36"/>
      <c r="L57" s="35"/>
      <c r="M57" s="36"/>
      <c r="N57" s="36"/>
    </row>
    <row r="58" spans="1:18" s="5" customFormat="1" x14ac:dyDescent="0.2">
      <c r="D58" s="50"/>
      <c r="E58" s="50"/>
      <c r="F58" s="50"/>
      <c r="G58" s="4"/>
      <c r="I58" s="6"/>
      <c r="L58" s="6"/>
    </row>
    <row r="59" spans="1:18" s="5" customFormat="1" x14ac:dyDescent="0.2">
      <c r="D59" s="50"/>
      <c r="E59" s="50"/>
      <c r="F59" s="50"/>
      <c r="G59" s="4"/>
      <c r="I59" s="6"/>
      <c r="L59" s="6"/>
    </row>
    <row r="60" spans="1:18" s="5" customFormat="1" x14ac:dyDescent="0.2">
      <c r="D60" s="50"/>
      <c r="E60" s="50"/>
      <c r="F60" s="50"/>
      <c r="G60" s="4"/>
      <c r="I60" s="6"/>
      <c r="L60" s="6"/>
    </row>
    <row r="62" spans="1:18" s="5" customFormat="1" ht="15.75" x14ac:dyDescent="0.25">
      <c r="A62" s="51"/>
      <c r="B62" s="51"/>
      <c r="C62" s="51"/>
      <c r="D62" s="51"/>
      <c r="E62" s="51"/>
      <c r="F62" s="51"/>
      <c r="G62" s="4"/>
      <c r="I62" s="6"/>
      <c r="L62" s="6"/>
    </row>
    <row r="63" spans="1:18" s="51" customFormat="1" ht="15" customHeight="1" x14ac:dyDescent="0.25">
      <c r="G63" s="52"/>
      <c r="I63" s="53"/>
      <c r="J63" s="54"/>
      <c r="L63" s="53"/>
      <c r="M63" s="54"/>
      <c r="N63" s="54"/>
    </row>
    <row r="64" spans="1:18" s="51" customFormat="1" ht="13.15" customHeight="1" x14ac:dyDescent="0.25">
      <c r="G64" s="52"/>
      <c r="I64" s="53"/>
      <c r="J64" s="54"/>
      <c r="L64" s="53"/>
      <c r="M64" s="54"/>
      <c r="N64" s="54"/>
    </row>
    <row r="65" spans="7:14" s="51" customFormat="1" ht="12.75" customHeight="1" x14ac:dyDescent="0.25">
      <c r="G65" s="52"/>
      <c r="I65" s="53"/>
      <c r="J65" s="54"/>
      <c r="L65" s="53"/>
      <c r="M65" s="54"/>
      <c r="N65" s="54"/>
    </row>
    <row r="66" spans="7:14" s="51" customFormat="1" ht="13.15" customHeight="1" x14ac:dyDescent="0.25">
      <c r="G66" s="52"/>
      <c r="I66" s="53"/>
      <c r="J66" s="54"/>
      <c r="L66" s="53"/>
      <c r="M66" s="54"/>
      <c r="N66" s="54"/>
    </row>
    <row r="67" spans="7:14" s="51" customFormat="1" ht="13.15" customHeight="1" x14ac:dyDescent="0.25">
      <c r="G67" s="52"/>
      <c r="I67" s="53"/>
      <c r="J67" s="54"/>
      <c r="L67" s="53"/>
      <c r="M67" s="54"/>
      <c r="N67" s="54"/>
    </row>
    <row r="68" spans="7:14" s="51" customFormat="1" ht="13.15" customHeight="1" x14ac:dyDescent="0.25">
      <c r="G68" s="52"/>
      <c r="I68" s="53"/>
      <c r="J68" s="54"/>
      <c r="L68" s="53"/>
      <c r="M68" s="54"/>
      <c r="N68" s="54"/>
    </row>
    <row r="69" spans="7:14" s="51" customFormat="1" ht="13.15" customHeight="1" x14ac:dyDescent="0.25">
      <c r="G69" s="52"/>
      <c r="I69" s="53"/>
      <c r="J69" s="54"/>
      <c r="L69" s="53"/>
      <c r="M69" s="54"/>
      <c r="N69" s="54"/>
    </row>
    <row r="70" spans="7:14" s="51" customFormat="1" ht="13.15" customHeight="1" x14ac:dyDescent="0.25">
      <c r="G70" s="52"/>
      <c r="I70" s="53"/>
      <c r="J70" s="54"/>
      <c r="L70" s="53"/>
      <c r="M70" s="54"/>
      <c r="N70" s="54"/>
    </row>
    <row r="71" spans="7:14" s="51" customFormat="1" ht="13.15" customHeight="1" x14ac:dyDescent="0.25">
      <c r="G71" s="52"/>
      <c r="I71" s="53"/>
      <c r="J71" s="54"/>
      <c r="L71" s="53"/>
      <c r="M71" s="54"/>
      <c r="N71" s="54"/>
    </row>
    <row r="72" spans="7:14" s="51" customFormat="1" ht="13.15" customHeight="1" x14ac:dyDescent="0.25">
      <c r="G72" s="52"/>
      <c r="I72" s="53"/>
      <c r="J72" s="54"/>
      <c r="L72" s="53"/>
      <c r="M72" s="54"/>
      <c r="N72" s="54"/>
    </row>
    <row r="73" spans="7:14" s="51" customFormat="1" ht="13.15" customHeight="1" x14ac:dyDescent="0.25">
      <c r="G73" s="52"/>
      <c r="I73" s="53"/>
      <c r="J73" s="54"/>
      <c r="L73" s="53"/>
      <c r="M73" s="54"/>
      <c r="N73" s="54"/>
    </row>
    <row r="74" spans="7:14" s="51" customFormat="1" ht="13.15" customHeight="1" x14ac:dyDescent="0.25">
      <c r="G74" s="52"/>
      <c r="I74" s="53"/>
      <c r="J74" s="54"/>
      <c r="L74" s="53"/>
      <c r="M74" s="54"/>
      <c r="N74" s="54"/>
    </row>
    <row r="75" spans="7:14" s="51" customFormat="1" ht="13.15" customHeight="1" x14ac:dyDescent="0.25">
      <c r="G75" s="52"/>
      <c r="I75" s="53"/>
      <c r="J75" s="54"/>
      <c r="L75" s="53"/>
      <c r="M75" s="54"/>
      <c r="N75" s="54"/>
    </row>
    <row r="76" spans="7:14" s="51" customFormat="1" ht="13.15" customHeight="1" x14ac:dyDescent="0.25">
      <c r="G76" s="52"/>
      <c r="I76" s="53"/>
      <c r="J76" s="54"/>
      <c r="L76" s="53"/>
      <c r="M76" s="54"/>
      <c r="N76" s="54"/>
    </row>
    <row r="77" spans="7:14" s="51" customFormat="1" ht="13.15" customHeight="1" x14ac:dyDescent="0.25">
      <c r="G77" s="52"/>
      <c r="I77" s="53"/>
      <c r="J77" s="54"/>
      <c r="L77" s="53"/>
      <c r="M77" s="54"/>
      <c r="N77" s="54"/>
    </row>
    <row r="78" spans="7:14" s="51" customFormat="1" ht="13.15" customHeight="1" x14ac:dyDescent="0.25">
      <c r="G78" s="52"/>
      <c r="I78" s="53"/>
      <c r="J78" s="54"/>
      <c r="L78" s="53"/>
      <c r="M78" s="54"/>
      <c r="N78" s="54"/>
    </row>
    <row r="79" spans="7:14" s="51" customFormat="1" ht="13.15" customHeight="1" x14ac:dyDescent="0.25">
      <c r="G79" s="52"/>
      <c r="I79" s="53"/>
      <c r="J79" s="54"/>
      <c r="L79" s="53"/>
      <c r="M79" s="54"/>
      <c r="N79" s="54"/>
    </row>
    <row r="80" spans="7:14" s="51" customFormat="1" ht="13.15" customHeight="1" x14ac:dyDescent="0.25">
      <c r="G80" s="52"/>
      <c r="I80" s="53"/>
      <c r="J80" s="54"/>
      <c r="L80" s="53"/>
      <c r="M80" s="54"/>
      <c r="N80" s="54"/>
    </row>
    <row r="81" spans="7:14" s="51" customFormat="1" ht="13.15" customHeight="1" x14ac:dyDescent="0.25">
      <c r="G81" s="52"/>
      <c r="I81" s="53"/>
      <c r="J81" s="54"/>
      <c r="L81" s="53"/>
      <c r="M81" s="54"/>
      <c r="N81" s="54"/>
    </row>
    <row r="82" spans="7:14" s="51" customFormat="1" ht="13.15" customHeight="1" x14ac:dyDescent="0.25">
      <c r="G82" s="52"/>
      <c r="I82" s="53"/>
      <c r="J82" s="54"/>
      <c r="L82" s="53"/>
      <c r="M82" s="54"/>
      <c r="N82" s="54"/>
    </row>
    <row r="83" spans="7:14" s="51" customFormat="1" ht="13.15" customHeight="1" x14ac:dyDescent="0.25">
      <c r="G83" s="52"/>
      <c r="I83" s="53"/>
      <c r="J83" s="54"/>
      <c r="L83" s="53"/>
      <c r="M83" s="54"/>
      <c r="N83" s="54"/>
    </row>
    <row r="84" spans="7:14" s="51" customFormat="1" ht="13.15" customHeight="1" x14ac:dyDescent="0.25">
      <c r="G84" s="52"/>
      <c r="I84" s="53"/>
      <c r="J84" s="54"/>
      <c r="L84" s="53"/>
      <c r="M84" s="54"/>
      <c r="N84" s="54"/>
    </row>
    <row r="85" spans="7:14" s="51" customFormat="1" ht="13.15" customHeight="1" x14ac:dyDescent="0.25">
      <c r="G85" s="52"/>
      <c r="I85" s="53"/>
      <c r="J85" s="54"/>
      <c r="L85" s="53"/>
      <c r="M85" s="54"/>
      <c r="N85" s="54"/>
    </row>
    <row r="86" spans="7:14" s="51" customFormat="1" ht="13.15" customHeight="1" x14ac:dyDescent="0.25">
      <c r="G86" s="52"/>
      <c r="I86" s="53"/>
      <c r="J86" s="54"/>
      <c r="L86" s="53"/>
      <c r="M86" s="54"/>
      <c r="N86" s="54"/>
    </row>
    <row r="87" spans="7:14" s="51" customFormat="1" ht="13.15" customHeight="1" x14ac:dyDescent="0.25">
      <c r="G87" s="52"/>
      <c r="I87" s="53"/>
      <c r="J87" s="54"/>
      <c r="L87" s="53"/>
      <c r="M87" s="54"/>
      <c r="N87" s="54"/>
    </row>
    <row r="88" spans="7:14" s="51" customFormat="1" ht="13.15" customHeight="1" x14ac:dyDescent="0.25">
      <c r="G88" s="52"/>
      <c r="I88" s="53"/>
      <c r="J88" s="54"/>
      <c r="L88" s="53"/>
      <c r="M88" s="54"/>
      <c r="N88" s="54"/>
    </row>
    <row r="89" spans="7:14" s="51" customFormat="1" ht="13.15" customHeight="1" x14ac:dyDescent="0.25">
      <c r="G89" s="52"/>
      <c r="I89" s="53"/>
      <c r="J89" s="54"/>
      <c r="L89" s="53"/>
      <c r="M89" s="54"/>
      <c r="N89" s="54"/>
    </row>
    <row r="90" spans="7:14" s="51" customFormat="1" ht="13.15" customHeight="1" x14ac:dyDescent="0.25">
      <c r="G90" s="52"/>
      <c r="I90" s="53"/>
      <c r="J90" s="54"/>
      <c r="L90" s="53"/>
      <c r="M90" s="54"/>
      <c r="N90" s="54"/>
    </row>
    <row r="91" spans="7:14" s="51" customFormat="1" ht="13.15" customHeight="1" x14ac:dyDescent="0.25">
      <c r="G91" s="52"/>
      <c r="I91" s="53"/>
      <c r="J91" s="54"/>
      <c r="L91" s="53"/>
      <c r="M91" s="54"/>
      <c r="N91" s="54"/>
    </row>
    <row r="92" spans="7:14" s="51" customFormat="1" ht="13.15" customHeight="1" x14ac:dyDescent="0.25">
      <c r="G92" s="52"/>
      <c r="I92" s="53"/>
      <c r="J92" s="54"/>
      <c r="L92" s="53"/>
      <c r="M92" s="54"/>
      <c r="N92" s="54"/>
    </row>
    <row r="93" spans="7:14" s="51" customFormat="1" ht="13.15" customHeight="1" x14ac:dyDescent="0.25">
      <c r="G93" s="52"/>
      <c r="I93" s="53"/>
      <c r="J93" s="54"/>
      <c r="L93" s="53"/>
      <c r="M93" s="54"/>
      <c r="N93" s="54"/>
    </row>
    <row r="94" spans="7:14" s="51" customFormat="1" ht="13.15" customHeight="1" x14ac:dyDescent="0.25">
      <c r="G94" s="52"/>
      <c r="I94" s="53"/>
      <c r="J94" s="54"/>
      <c r="L94" s="53"/>
      <c r="M94" s="54"/>
      <c r="N94" s="54"/>
    </row>
    <row r="95" spans="7:14" s="51" customFormat="1" ht="13.15" customHeight="1" x14ac:dyDescent="0.25">
      <c r="G95" s="52"/>
      <c r="I95" s="53"/>
      <c r="J95" s="54"/>
      <c r="L95" s="53"/>
      <c r="M95" s="54"/>
      <c r="N95" s="54"/>
    </row>
    <row r="96" spans="7:14" s="51" customFormat="1" ht="13.15" customHeight="1" x14ac:dyDescent="0.25">
      <c r="G96" s="52"/>
      <c r="I96" s="53"/>
      <c r="J96" s="54"/>
      <c r="L96" s="53"/>
      <c r="M96" s="54"/>
      <c r="N96" s="54"/>
    </row>
    <row r="97" spans="7:14" s="51" customFormat="1" ht="13.15" customHeight="1" x14ac:dyDescent="0.25">
      <c r="G97" s="52"/>
      <c r="I97" s="53"/>
      <c r="J97" s="54"/>
      <c r="L97" s="53"/>
      <c r="M97" s="54"/>
      <c r="N97" s="54"/>
    </row>
    <row r="98" spans="7:14" s="51" customFormat="1" ht="13.15" customHeight="1" x14ac:dyDescent="0.25">
      <c r="G98" s="52"/>
      <c r="I98" s="53"/>
      <c r="J98" s="54"/>
      <c r="L98" s="53"/>
      <c r="M98" s="54"/>
      <c r="N98" s="54"/>
    </row>
    <row r="99" spans="7:14" s="51" customFormat="1" ht="13.15" customHeight="1" x14ac:dyDescent="0.25">
      <c r="G99" s="52"/>
      <c r="I99" s="53"/>
      <c r="J99" s="54"/>
      <c r="L99" s="53"/>
      <c r="M99" s="54"/>
      <c r="N99" s="54"/>
    </row>
    <row r="100" spans="7:14" s="51" customFormat="1" ht="13.15" customHeight="1" x14ac:dyDescent="0.25">
      <c r="G100" s="52"/>
      <c r="I100" s="53"/>
      <c r="J100" s="54"/>
      <c r="L100" s="53"/>
      <c r="M100" s="54"/>
      <c r="N100" s="54"/>
    </row>
    <row r="101" spans="7:14" s="51" customFormat="1" ht="13.15" customHeight="1" x14ac:dyDescent="0.25">
      <c r="G101" s="52"/>
      <c r="I101" s="53"/>
      <c r="J101" s="54"/>
      <c r="L101" s="53"/>
      <c r="M101" s="54"/>
      <c r="N101" s="54"/>
    </row>
    <row r="102" spans="7:14" s="51" customFormat="1" ht="13.15" customHeight="1" x14ac:dyDescent="0.25">
      <c r="G102" s="52"/>
      <c r="I102" s="53"/>
      <c r="J102" s="54"/>
      <c r="L102" s="53"/>
      <c r="M102" s="54"/>
      <c r="N102" s="54"/>
    </row>
    <row r="103" spans="7:14" s="51" customFormat="1" ht="13.15" customHeight="1" x14ac:dyDescent="0.25">
      <c r="G103" s="52"/>
      <c r="I103" s="53"/>
      <c r="J103" s="54"/>
      <c r="L103" s="53"/>
      <c r="M103" s="54"/>
      <c r="N103" s="54"/>
    </row>
    <row r="104" spans="7:14" s="51" customFormat="1" ht="13.15" customHeight="1" x14ac:dyDescent="0.25">
      <c r="G104" s="52"/>
      <c r="I104" s="53"/>
      <c r="J104" s="54"/>
      <c r="L104" s="53"/>
      <c r="M104" s="54"/>
      <c r="N104" s="54"/>
    </row>
    <row r="105" spans="7:14" s="51" customFormat="1" ht="13.15" customHeight="1" x14ac:dyDescent="0.25">
      <c r="G105" s="52"/>
      <c r="I105" s="53"/>
      <c r="J105" s="54"/>
      <c r="L105" s="53"/>
      <c r="M105" s="54"/>
      <c r="N105" s="54"/>
    </row>
    <row r="106" spans="7:14" s="51" customFormat="1" ht="13.15" customHeight="1" x14ac:dyDescent="0.25">
      <c r="G106" s="52"/>
      <c r="I106" s="53"/>
      <c r="J106" s="54"/>
      <c r="L106" s="53"/>
      <c r="M106" s="54"/>
      <c r="N106" s="54"/>
    </row>
    <row r="107" spans="7:14" s="51" customFormat="1" ht="13.15" customHeight="1" x14ac:dyDescent="0.25">
      <c r="G107" s="52"/>
      <c r="I107" s="53"/>
      <c r="J107" s="54"/>
      <c r="L107" s="53"/>
      <c r="M107" s="54"/>
      <c r="N107" s="54"/>
    </row>
    <row r="108" spans="7:14" s="51" customFormat="1" ht="13.15" customHeight="1" x14ac:dyDescent="0.25">
      <c r="G108" s="52"/>
      <c r="I108" s="53"/>
      <c r="J108" s="54"/>
      <c r="L108" s="53"/>
      <c r="M108" s="54"/>
      <c r="N108" s="54"/>
    </row>
    <row r="109" spans="7:14" s="51" customFormat="1" ht="13.15" customHeight="1" x14ac:dyDescent="0.25">
      <c r="G109" s="52"/>
      <c r="I109" s="53"/>
      <c r="J109" s="54"/>
      <c r="L109" s="53"/>
      <c r="M109" s="54"/>
      <c r="N109" s="54"/>
    </row>
    <row r="110" spans="7:14" s="51" customFormat="1" ht="13.15" customHeight="1" x14ac:dyDescent="0.25">
      <c r="G110" s="52"/>
      <c r="I110" s="53"/>
      <c r="J110" s="54"/>
      <c r="L110" s="53"/>
      <c r="M110" s="54"/>
      <c r="N110" s="54"/>
    </row>
    <row r="111" spans="7:14" s="51" customFormat="1" ht="13.15" customHeight="1" x14ac:dyDescent="0.25">
      <c r="G111" s="52"/>
      <c r="I111" s="53"/>
      <c r="J111" s="54"/>
      <c r="L111" s="53"/>
      <c r="M111" s="54"/>
      <c r="N111" s="54"/>
    </row>
    <row r="112" spans="7:14" s="51" customFormat="1" ht="13.15" customHeight="1" x14ac:dyDescent="0.25">
      <c r="G112" s="52"/>
      <c r="I112" s="53"/>
      <c r="J112" s="54"/>
      <c r="L112" s="53"/>
      <c r="M112" s="54"/>
      <c r="N112" s="54"/>
    </row>
    <row r="113" spans="7:14" s="51" customFormat="1" ht="13.15" customHeight="1" x14ac:dyDescent="0.25">
      <c r="G113" s="52"/>
      <c r="I113" s="53"/>
      <c r="J113" s="54"/>
      <c r="L113" s="53"/>
      <c r="M113" s="54"/>
      <c r="N113" s="54"/>
    </row>
    <row r="114" spans="7:14" s="51" customFormat="1" ht="13.15" customHeight="1" x14ac:dyDescent="0.25">
      <c r="G114" s="52"/>
      <c r="I114" s="53"/>
      <c r="J114" s="54"/>
      <c r="L114" s="53"/>
      <c r="M114" s="54"/>
      <c r="N114" s="54"/>
    </row>
    <row r="115" spans="7:14" s="51" customFormat="1" ht="13.15" customHeight="1" x14ac:dyDescent="0.25">
      <c r="G115" s="52"/>
      <c r="I115" s="53"/>
      <c r="J115" s="54"/>
      <c r="L115" s="53"/>
      <c r="M115" s="54"/>
      <c r="N115" s="54"/>
    </row>
    <row r="116" spans="7:14" s="51" customFormat="1" ht="13.15" customHeight="1" x14ac:dyDescent="0.25">
      <c r="G116" s="52"/>
      <c r="I116" s="53"/>
      <c r="J116" s="54"/>
      <c r="L116" s="53"/>
      <c r="M116" s="54"/>
      <c r="N116" s="54"/>
    </row>
    <row r="117" spans="7:14" s="51" customFormat="1" ht="13.15" customHeight="1" x14ac:dyDescent="0.25">
      <c r="G117" s="52"/>
      <c r="I117" s="53"/>
      <c r="J117" s="54"/>
      <c r="L117" s="53"/>
      <c r="M117" s="54"/>
      <c r="N117" s="54"/>
    </row>
    <row r="118" spans="7:14" s="51" customFormat="1" ht="13.15" customHeight="1" x14ac:dyDescent="0.25">
      <c r="G118" s="52"/>
      <c r="I118" s="53"/>
      <c r="J118" s="54"/>
      <c r="L118" s="53"/>
      <c r="M118" s="54"/>
      <c r="N118" s="54"/>
    </row>
    <row r="119" spans="7:14" s="51" customFormat="1" ht="13.15" customHeight="1" x14ac:dyDescent="0.25">
      <c r="G119" s="52"/>
      <c r="I119" s="53"/>
      <c r="J119" s="54"/>
      <c r="L119" s="53"/>
      <c r="M119" s="54"/>
      <c r="N119" s="54"/>
    </row>
    <row r="120" spans="7:14" s="51" customFormat="1" ht="13.15" customHeight="1" x14ac:dyDescent="0.25">
      <c r="G120" s="52"/>
      <c r="I120" s="53"/>
      <c r="J120" s="54"/>
      <c r="L120" s="53"/>
      <c r="M120" s="54"/>
      <c r="N120" s="54"/>
    </row>
    <row r="121" spans="7:14" s="51" customFormat="1" ht="13.15" customHeight="1" x14ac:dyDescent="0.25">
      <c r="G121" s="52"/>
      <c r="I121" s="53"/>
      <c r="J121" s="54"/>
      <c r="L121" s="53"/>
      <c r="M121" s="54"/>
      <c r="N121" s="54"/>
    </row>
    <row r="122" spans="7:14" s="51" customFormat="1" ht="13.15" customHeight="1" x14ac:dyDescent="0.25">
      <c r="G122" s="52"/>
      <c r="I122" s="53"/>
      <c r="J122" s="54"/>
      <c r="L122" s="53"/>
      <c r="M122" s="54"/>
      <c r="N122" s="54"/>
    </row>
    <row r="123" spans="7:14" s="51" customFormat="1" ht="13.15" customHeight="1" x14ac:dyDescent="0.25">
      <c r="G123" s="52"/>
      <c r="I123" s="53"/>
      <c r="J123" s="54"/>
      <c r="L123" s="53"/>
      <c r="M123" s="54"/>
      <c r="N123" s="54"/>
    </row>
    <row r="124" spans="7:14" s="51" customFormat="1" ht="13.15" customHeight="1" x14ac:dyDescent="0.25">
      <c r="G124" s="52"/>
      <c r="I124" s="53"/>
      <c r="J124" s="54"/>
      <c r="L124" s="53"/>
      <c r="M124" s="54"/>
      <c r="N124" s="54"/>
    </row>
    <row r="125" spans="7:14" s="51" customFormat="1" ht="13.15" customHeight="1" x14ac:dyDescent="0.25">
      <c r="G125" s="52"/>
      <c r="I125" s="53"/>
      <c r="J125" s="54"/>
      <c r="L125" s="53"/>
      <c r="M125" s="54"/>
      <c r="N125" s="54"/>
    </row>
    <row r="126" spans="7:14" s="51" customFormat="1" ht="13.15" customHeight="1" x14ac:dyDescent="0.25">
      <c r="G126" s="52"/>
      <c r="I126" s="53"/>
      <c r="J126" s="54"/>
      <c r="L126" s="53"/>
      <c r="M126" s="54"/>
      <c r="N126" s="54"/>
    </row>
    <row r="127" spans="7:14" s="51" customFormat="1" ht="13.15" customHeight="1" x14ac:dyDescent="0.25">
      <c r="G127" s="52"/>
      <c r="I127" s="53"/>
      <c r="J127" s="54"/>
      <c r="L127" s="53"/>
      <c r="M127" s="54"/>
      <c r="N127" s="54"/>
    </row>
    <row r="128" spans="7:14" s="51" customFormat="1" ht="13.15" customHeight="1" x14ac:dyDescent="0.25">
      <c r="G128" s="52"/>
      <c r="I128" s="53"/>
      <c r="J128" s="54"/>
      <c r="L128" s="53"/>
      <c r="M128" s="54"/>
      <c r="N128" s="54"/>
    </row>
    <row r="129" spans="7:14" s="51" customFormat="1" ht="13.15" customHeight="1" x14ac:dyDescent="0.25">
      <c r="G129" s="52"/>
      <c r="I129" s="53"/>
      <c r="J129" s="54"/>
      <c r="L129" s="53"/>
      <c r="M129" s="54"/>
      <c r="N129" s="54"/>
    </row>
    <row r="130" spans="7:14" s="51" customFormat="1" ht="13.15" customHeight="1" x14ac:dyDescent="0.25">
      <c r="G130" s="52"/>
      <c r="I130" s="53"/>
      <c r="J130" s="54"/>
      <c r="L130" s="53"/>
      <c r="M130" s="54"/>
      <c r="N130" s="54"/>
    </row>
    <row r="131" spans="7:14" s="51" customFormat="1" ht="13.15" customHeight="1" x14ac:dyDescent="0.25">
      <c r="G131" s="52"/>
      <c r="I131" s="53"/>
      <c r="J131" s="54"/>
      <c r="L131" s="53"/>
      <c r="M131" s="54"/>
      <c r="N131" s="54"/>
    </row>
    <row r="132" spans="7:14" s="51" customFormat="1" ht="13.15" customHeight="1" x14ac:dyDescent="0.25">
      <c r="G132" s="52"/>
      <c r="I132" s="53"/>
      <c r="J132" s="54"/>
      <c r="L132" s="53"/>
      <c r="M132" s="54"/>
      <c r="N132" s="54"/>
    </row>
    <row r="133" spans="7:14" s="51" customFormat="1" ht="13.15" customHeight="1" x14ac:dyDescent="0.25">
      <c r="G133" s="52"/>
      <c r="I133" s="53"/>
      <c r="J133" s="54"/>
      <c r="L133" s="53"/>
      <c r="M133" s="54"/>
      <c r="N133" s="54"/>
    </row>
    <row r="134" spans="7:14" s="51" customFormat="1" ht="12.75" customHeight="1" x14ac:dyDescent="0.25">
      <c r="G134" s="52"/>
      <c r="I134" s="53"/>
      <c r="J134" s="54"/>
      <c r="L134" s="53"/>
      <c r="M134" s="54"/>
      <c r="N134" s="54"/>
    </row>
    <row r="135" spans="7:14" s="51" customFormat="1" ht="13.15" customHeight="1" x14ac:dyDescent="0.25">
      <c r="G135" s="52"/>
      <c r="I135" s="53"/>
      <c r="J135" s="54"/>
      <c r="L135" s="53"/>
      <c r="M135" s="54"/>
      <c r="N135" s="54"/>
    </row>
    <row r="136" spans="7:14" s="51" customFormat="1" ht="13.15" customHeight="1" x14ac:dyDescent="0.25">
      <c r="G136" s="52"/>
      <c r="I136" s="53"/>
      <c r="J136" s="54"/>
      <c r="L136" s="53"/>
      <c r="M136" s="54"/>
      <c r="N136" s="54"/>
    </row>
    <row r="137" spans="7:14" s="51" customFormat="1" ht="13.15" customHeight="1" x14ac:dyDescent="0.25">
      <c r="G137" s="52"/>
      <c r="I137" s="53"/>
      <c r="J137" s="54"/>
      <c r="L137" s="53"/>
      <c r="M137" s="54"/>
      <c r="N137" s="54"/>
    </row>
    <row r="138" spans="7:14" s="51" customFormat="1" ht="13.15" customHeight="1" x14ac:dyDescent="0.25">
      <c r="G138" s="52"/>
      <c r="I138" s="53"/>
      <c r="J138" s="54"/>
      <c r="L138" s="53"/>
      <c r="M138" s="54"/>
      <c r="N138" s="54"/>
    </row>
    <row r="139" spans="7:14" s="51" customFormat="1" ht="13.15" customHeight="1" x14ac:dyDescent="0.25">
      <c r="G139" s="52"/>
      <c r="I139" s="53"/>
      <c r="J139" s="54"/>
      <c r="L139" s="53"/>
      <c r="M139" s="54"/>
      <c r="N139" s="54"/>
    </row>
    <row r="140" spans="7:14" s="51" customFormat="1" ht="13.15" customHeight="1" x14ac:dyDescent="0.25">
      <c r="G140" s="52"/>
      <c r="I140" s="53"/>
      <c r="J140" s="54"/>
      <c r="L140" s="53"/>
      <c r="M140" s="54"/>
      <c r="N140" s="54"/>
    </row>
    <row r="141" spans="7:14" s="51" customFormat="1" ht="13.15" customHeight="1" x14ac:dyDescent="0.25">
      <c r="G141" s="52"/>
      <c r="I141" s="53"/>
      <c r="J141" s="54"/>
      <c r="L141" s="53"/>
      <c r="M141" s="54"/>
      <c r="N141" s="54"/>
    </row>
    <row r="142" spans="7:14" s="51" customFormat="1" ht="13.15" customHeight="1" x14ac:dyDescent="0.25">
      <c r="G142" s="52"/>
      <c r="I142" s="53"/>
      <c r="J142" s="54"/>
      <c r="L142" s="53"/>
      <c r="M142" s="54"/>
      <c r="N142" s="54"/>
    </row>
    <row r="143" spans="7:14" s="51" customFormat="1" ht="13.15" customHeight="1" x14ac:dyDescent="0.25">
      <c r="G143" s="52"/>
      <c r="I143" s="53"/>
      <c r="J143" s="54"/>
      <c r="L143" s="53"/>
      <c r="M143" s="54"/>
      <c r="N143" s="54"/>
    </row>
    <row r="144" spans="7:14" s="51" customFormat="1" ht="13.15" customHeight="1" x14ac:dyDescent="0.25">
      <c r="G144" s="52"/>
      <c r="I144" s="53"/>
      <c r="J144" s="54"/>
      <c r="L144" s="53"/>
      <c r="M144" s="54"/>
      <c r="N144" s="54"/>
    </row>
    <row r="145" spans="7:14" s="51" customFormat="1" ht="13.15" customHeight="1" x14ac:dyDescent="0.25">
      <c r="G145" s="52"/>
      <c r="I145" s="53"/>
      <c r="J145" s="54"/>
      <c r="L145" s="53"/>
      <c r="M145" s="54"/>
      <c r="N145" s="54"/>
    </row>
    <row r="146" spans="7:14" s="51" customFormat="1" ht="13.15" customHeight="1" x14ac:dyDescent="0.25">
      <c r="G146" s="52"/>
      <c r="I146" s="53"/>
      <c r="J146" s="54"/>
      <c r="L146" s="53"/>
      <c r="M146" s="54"/>
      <c r="N146" s="54"/>
    </row>
    <row r="147" spans="7:14" s="51" customFormat="1" ht="13.15" customHeight="1" x14ac:dyDescent="0.25">
      <c r="G147" s="52"/>
      <c r="I147" s="53"/>
      <c r="J147" s="54"/>
      <c r="L147" s="53"/>
      <c r="M147" s="54"/>
      <c r="N147" s="54"/>
    </row>
    <row r="148" spans="7:14" s="51" customFormat="1" ht="13.15" customHeight="1" x14ac:dyDescent="0.25">
      <c r="G148" s="52"/>
      <c r="I148" s="53"/>
      <c r="J148" s="54"/>
      <c r="L148" s="53"/>
      <c r="M148" s="54"/>
      <c r="N148" s="54"/>
    </row>
    <row r="149" spans="7:14" s="51" customFormat="1" ht="13.15" customHeight="1" x14ac:dyDescent="0.25">
      <c r="G149" s="52"/>
      <c r="I149" s="53"/>
      <c r="J149" s="54"/>
      <c r="L149" s="53"/>
      <c r="M149" s="54"/>
      <c r="N149" s="54"/>
    </row>
    <row r="150" spans="7:14" s="51" customFormat="1" ht="13.15" customHeight="1" x14ac:dyDescent="0.25">
      <c r="G150" s="52"/>
      <c r="I150" s="53"/>
      <c r="J150" s="54"/>
      <c r="L150" s="53"/>
      <c r="M150" s="54"/>
      <c r="N150" s="54"/>
    </row>
    <row r="151" spans="7:14" s="51" customFormat="1" ht="13.15" customHeight="1" x14ac:dyDescent="0.25">
      <c r="G151" s="52"/>
      <c r="I151" s="53"/>
      <c r="J151" s="54"/>
      <c r="L151" s="53"/>
      <c r="M151" s="54"/>
      <c r="N151" s="54"/>
    </row>
    <row r="152" spans="7:14" s="51" customFormat="1" ht="13.15" customHeight="1" x14ac:dyDescent="0.25">
      <c r="G152" s="52"/>
      <c r="I152" s="53"/>
      <c r="J152" s="54"/>
      <c r="L152" s="53"/>
      <c r="M152" s="54"/>
      <c r="N152" s="54"/>
    </row>
    <row r="153" spans="7:14" s="51" customFormat="1" ht="13.15" customHeight="1" x14ac:dyDescent="0.25">
      <c r="G153" s="52"/>
      <c r="I153" s="53"/>
      <c r="J153" s="54"/>
      <c r="L153" s="53"/>
      <c r="M153" s="54"/>
      <c r="N153" s="54"/>
    </row>
    <row r="154" spans="7:14" s="51" customFormat="1" ht="13.15" customHeight="1" x14ac:dyDescent="0.25">
      <c r="G154" s="52"/>
      <c r="I154" s="53"/>
      <c r="J154" s="54"/>
      <c r="L154" s="53"/>
      <c r="M154" s="54"/>
      <c r="N154" s="54"/>
    </row>
    <row r="155" spans="7:14" s="51" customFormat="1" ht="13.15" customHeight="1" x14ac:dyDescent="0.25">
      <c r="G155" s="52"/>
      <c r="I155" s="53"/>
      <c r="J155" s="54"/>
      <c r="L155" s="53"/>
      <c r="M155" s="54"/>
      <c r="N155" s="54"/>
    </row>
    <row r="156" spans="7:14" s="51" customFormat="1" ht="13.15" customHeight="1" x14ac:dyDescent="0.25">
      <c r="G156" s="52"/>
      <c r="I156" s="53"/>
      <c r="J156" s="54"/>
      <c r="L156" s="53"/>
      <c r="M156" s="54"/>
      <c r="N156" s="54"/>
    </row>
    <row r="157" spans="7:14" s="51" customFormat="1" ht="13.15" customHeight="1" x14ac:dyDescent="0.25">
      <c r="G157" s="52"/>
      <c r="I157" s="53"/>
      <c r="J157" s="54"/>
      <c r="L157" s="53"/>
      <c r="M157" s="54"/>
      <c r="N157" s="54"/>
    </row>
    <row r="158" spans="7:14" s="51" customFormat="1" ht="13.15" customHeight="1" x14ac:dyDescent="0.25">
      <c r="G158" s="52"/>
      <c r="I158" s="53"/>
      <c r="J158" s="54"/>
      <c r="L158" s="53"/>
      <c r="M158" s="54"/>
      <c r="N158" s="54"/>
    </row>
    <row r="159" spans="7:14" s="51" customFormat="1" ht="13.15" customHeight="1" x14ac:dyDescent="0.25">
      <c r="G159" s="52"/>
      <c r="I159" s="53"/>
      <c r="J159" s="54"/>
      <c r="L159" s="53"/>
      <c r="M159" s="54"/>
      <c r="N159" s="54"/>
    </row>
    <row r="160" spans="7:14" s="51" customFormat="1" ht="13.15" customHeight="1" x14ac:dyDescent="0.25">
      <c r="G160" s="52"/>
      <c r="I160" s="53"/>
      <c r="J160" s="54"/>
      <c r="L160" s="53"/>
      <c r="M160" s="54"/>
      <c r="N160" s="54"/>
    </row>
    <row r="161" spans="7:14" s="51" customFormat="1" ht="13.15" customHeight="1" x14ac:dyDescent="0.25">
      <c r="G161" s="52"/>
      <c r="I161" s="53"/>
      <c r="J161" s="54"/>
      <c r="L161" s="53"/>
      <c r="M161" s="54"/>
      <c r="N161" s="54"/>
    </row>
    <row r="162" spans="7:14" s="51" customFormat="1" ht="13.15" customHeight="1" x14ac:dyDescent="0.25">
      <c r="G162" s="52"/>
      <c r="I162" s="53"/>
      <c r="J162" s="54"/>
      <c r="L162" s="53"/>
      <c r="M162" s="54"/>
      <c r="N162" s="54"/>
    </row>
    <row r="163" spans="7:14" s="51" customFormat="1" ht="13.15" customHeight="1" x14ac:dyDescent="0.25">
      <c r="G163" s="52"/>
      <c r="I163" s="53"/>
      <c r="J163" s="54"/>
      <c r="L163" s="53"/>
      <c r="M163" s="54"/>
      <c r="N163" s="54"/>
    </row>
    <row r="164" spans="7:14" s="51" customFormat="1" ht="13.15" customHeight="1" x14ac:dyDescent="0.25">
      <c r="G164" s="52"/>
      <c r="I164" s="53"/>
      <c r="J164" s="54"/>
      <c r="L164" s="53"/>
      <c r="M164" s="54"/>
      <c r="N164" s="54"/>
    </row>
    <row r="165" spans="7:14" s="51" customFormat="1" ht="13.15" customHeight="1" x14ac:dyDescent="0.25">
      <c r="G165" s="52"/>
      <c r="I165" s="53"/>
      <c r="J165" s="54"/>
      <c r="L165" s="53"/>
      <c r="M165" s="54"/>
      <c r="N165" s="54"/>
    </row>
    <row r="166" spans="7:14" s="51" customFormat="1" ht="13.15" customHeight="1" x14ac:dyDescent="0.25">
      <c r="G166" s="52"/>
      <c r="I166" s="53"/>
      <c r="J166" s="54"/>
      <c r="L166" s="53"/>
      <c r="M166" s="54"/>
      <c r="N166" s="54"/>
    </row>
    <row r="167" spans="7:14" s="51" customFormat="1" ht="13.15" customHeight="1" x14ac:dyDescent="0.25">
      <c r="G167" s="52"/>
      <c r="I167" s="53"/>
      <c r="J167" s="54"/>
      <c r="L167" s="53"/>
      <c r="M167" s="54"/>
      <c r="N167" s="54"/>
    </row>
    <row r="168" spans="7:14" s="51" customFormat="1" ht="13.15" customHeight="1" x14ac:dyDescent="0.25">
      <c r="G168" s="52"/>
      <c r="I168" s="53"/>
      <c r="J168" s="54"/>
      <c r="L168" s="53"/>
      <c r="M168" s="54"/>
      <c r="N168" s="54"/>
    </row>
    <row r="169" spans="7:14" s="51" customFormat="1" ht="13.15" customHeight="1" x14ac:dyDescent="0.25">
      <c r="G169" s="52"/>
      <c r="I169" s="53"/>
      <c r="J169" s="54"/>
      <c r="L169" s="53"/>
      <c r="M169" s="54"/>
      <c r="N169" s="54"/>
    </row>
    <row r="170" spans="7:14" s="51" customFormat="1" ht="13.15" customHeight="1" x14ac:dyDescent="0.25">
      <c r="G170" s="52"/>
      <c r="I170" s="53"/>
      <c r="J170" s="54"/>
      <c r="L170" s="53"/>
      <c r="M170" s="54"/>
      <c r="N170" s="54"/>
    </row>
    <row r="171" spans="7:14" s="51" customFormat="1" ht="13.15" customHeight="1" x14ac:dyDescent="0.25">
      <c r="G171" s="52"/>
      <c r="I171" s="53"/>
      <c r="J171" s="54"/>
      <c r="L171" s="53"/>
      <c r="M171" s="54"/>
      <c r="N171" s="54"/>
    </row>
    <row r="172" spans="7:14" s="51" customFormat="1" ht="13.15" customHeight="1" x14ac:dyDescent="0.25">
      <c r="G172" s="52"/>
      <c r="I172" s="53"/>
      <c r="J172" s="54"/>
      <c r="L172" s="53"/>
      <c r="M172" s="54"/>
      <c r="N172" s="54"/>
    </row>
    <row r="173" spans="7:14" s="51" customFormat="1" ht="13.15" customHeight="1" x14ac:dyDescent="0.25">
      <c r="G173" s="52"/>
      <c r="I173" s="53"/>
      <c r="J173" s="54"/>
      <c r="L173" s="53"/>
      <c r="M173" s="54"/>
      <c r="N173" s="54"/>
    </row>
    <row r="174" spans="7:14" s="51" customFormat="1" ht="13.15" customHeight="1" x14ac:dyDescent="0.25">
      <c r="G174" s="52"/>
      <c r="I174" s="53"/>
      <c r="J174" s="54"/>
      <c r="L174" s="53"/>
      <c r="M174" s="54"/>
      <c r="N174" s="54"/>
    </row>
    <row r="175" spans="7:14" s="51" customFormat="1" ht="13.15" customHeight="1" x14ac:dyDescent="0.25">
      <c r="G175" s="52"/>
      <c r="I175" s="53"/>
      <c r="J175" s="54"/>
      <c r="L175" s="53"/>
      <c r="M175" s="54"/>
      <c r="N175" s="54"/>
    </row>
    <row r="176" spans="7:14" s="51" customFormat="1" ht="13.15" customHeight="1" x14ac:dyDescent="0.25">
      <c r="G176" s="52"/>
      <c r="I176" s="53"/>
      <c r="J176" s="54"/>
      <c r="L176" s="53"/>
      <c r="M176" s="54"/>
      <c r="N176" s="54"/>
    </row>
    <row r="177" spans="7:14" s="51" customFormat="1" ht="13.15" customHeight="1" x14ac:dyDescent="0.25">
      <c r="G177" s="52"/>
      <c r="I177" s="53"/>
      <c r="J177" s="54"/>
      <c r="L177" s="53"/>
      <c r="M177" s="54"/>
      <c r="N177" s="54"/>
    </row>
    <row r="178" spans="7:14" s="51" customFormat="1" ht="13.15" customHeight="1" x14ac:dyDescent="0.25">
      <c r="G178" s="52"/>
      <c r="I178" s="53"/>
      <c r="J178" s="54"/>
      <c r="L178" s="53"/>
      <c r="M178" s="54"/>
      <c r="N178" s="54"/>
    </row>
    <row r="179" spans="7:14" s="51" customFormat="1" ht="13.15" customHeight="1" x14ac:dyDescent="0.25">
      <c r="G179" s="52"/>
      <c r="I179" s="53"/>
      <c r="J179" s="54"/>
      <c r="L179" s="53"/>
      <c r="M179" s="54"/>
      <c r="N179" s="54"/>
    </row>
    <row r="180" spans="7:14" s="51" customFormat="1" ht="13.15" customHeight="1" x14ac:dyDescent="0.25">
      <c r="G180" s="52"/>
      <c r="I180" s="53"/>
      <c r="J180" s="54"/>
      <c r="L180" s="53"/>
      <c r="M180" s="54"/>
      <c r="N180" s="54"/>
    </row>
    <row r="181" spans="7:14" s="51" customFormat="1" ht="13.15" customHeight="1" x14ac:dyDescent="0.25">
      <c r="G181" s="52"/>
      <c r="I181" s="53"/>
      <c r="J181" s="54"/>
      <c r="L181" s="53"/>
      <c r="M181" s="54"/>
      <c r="N181" s="54"/>
    </row>
    <row r="182" spans="7:14" s="51" customFormat="1" ht="13.15" customHeight="1" x14ac:dyDescent="0.25">
      <c r="G182" s="52"/>
      <c r="I182" s="53"/>
      <c r="J182" s="54"/>
      <c r="L182" s="53"/>
      <c r="M182" s="54"/>
      <c r="N182" s="54"/>
    </row>
    <row r="183" spans="7:14" s="51" customFormat="1" ht="13.15" customHeight="1" x14ac:dyDescent="0.25">
      <c r="G183" s="52"/>
      <c r="I183" s="53"/>
      <c r="J183" s="54"/>
      <c r="L183" s="53"/>
      <c r="M183" s="54"/>
      <c r="N183" s="54"/>
    </row>
    <row r="184" spans="7:14" s="51" customFormat="1" ht="13.15" customHeight="1" x14ac:dyDescent="0.25">
      <c r="G184" s="52"/>
      <c r="I184" s="53"/>
      <c r="J184" s="54"/>
      <c r="L184" s="53"/>
      <c r="M184" s="54"/>
      <c r="N184" s="54"/>
    </row>
    <row r="185" spans="7:14" s="51" customFormat="1" ht="13.15" customHeight="1" x14ac:dyDescent="0.25">
      <c r="G185" s="52"/>
      <c r="I185" s="53"/>
      <c r="J185" s="54"/>
      <c r="L185" s="53"/>
      <c r="M185" s="54"/>
      <c r="N185" s="54"/>
    </row>
    <row r="186" spans="7:14" s="51" customFormat="1" ht="13.15" customHeight="1" x14ac:dyDescent="0.25">
      <c r="G186" s="52"/>
      <c r="I186" s="53"/>
      <c r="J186" s="54"/>
      <c r="L186" s="53"/>
      <c r="M186" s="54"/>
      <c r="N186" s="54"/>
    </row>
    <row r="187" spans="7:14" s="51" customFormat="1" ht="13.15" customHeight="1" x14ac:dyDescent="0.25">
      <c r="G187" s="52"/>
      <c r="I187" s="53"/>
      <c r="J187" s="54"/>
      <c r="L187" s="53"/>
      <c r="M187" s="54"/>
      <c r="N187" s="54"/>
    </row>
    <row r="188" spans="7:14" s="51" customFormat="1" ht="13.15" customHeight="1" x14ac:dyDescent="0.25">
      <c r="G188" s="52"/>
      <c r="I188" s="53"/>
      <c r="J188" s="54"/>
      <c r="L188" s="53"/>
      <c r="M188" s="54"/>
      <c r="N188" s="54"/>
    </row>
    <row r="189" spans="7:14" s="51" customFormat="1" ht="13.15" customHeight="1" x14ac:dyDescent="0.25">
      <c r="G189" s="52"/>
      <c r="I189" s="53"/>
      <c r="J189" s="54"/>
      <c r="L189" s="53"/>
      <c r="M189" s="54"/>
      <c r="N189" s="54"/>
    </row>
    <row r="190" spans="7:14" s="51" customFormat="1" ht="13.15" customHeight="1" x14ac:dyDescent="0.25">
      <c r="G190" s="52"/>
      <c r="I190" s="53"/>
      <c r="J190" s="54"/>
      <c r="L190" s="53"/>
      <c r="M190" s="54"/>
      <c r="N190" s="54"/>
    </row>
    <row r="191" spans="7:14" s="51" customFormat="1" ht="13.15" customHeight="1" x14ac:dyDescent="0.25">
      <c r="G191" s="52"/>
      <c r="I191" s="53"/>
      <c r="J191" s="54"/>
      <c r="L191" s="53"/>
      <c r="M191" s="54"/>
      <c r="N191" s="54"/>
    </row>
    <row r="192" spans="7:14" s="51" customFormat="1" ht="13.15" customHeight="1" x14ac:dyDescent="0.25">
      <c r="G192" s="52"/>
      <c r="I192" s="53"/>
      <c r="J192" s="54"/>
      <c r="L192" s="53"/>
      <c r="M192" s="54"/>
      <c r="N192" s="54"/>
    </row>
    <row r="193" spans="7:14" s="51" customFormat="1" ht="13.15" customHeight="1" x14ac:dyDescent="0.25">
      <c r="G193" s="52"/>
      <c r="I193" s="53"/>
      <c r="J193" s="54"/>
      <c r="L193" s="53"/>
      <c r="M193" s="54"/>
      <c r="N193" s="54"/>
    </row>
    <row r="194" spans="7:14" s="51" customFormat="1" ht="13.15" customHeight="1" x14ac:dyDescent="0.25">
      <c r="G194" s="52"/>
      <c r="I194" s="53"/>
      <c r="J194" s="54"/>
      <c r="L194" s="53"/>
      <c r="M194" s="54"/>
      <c r="N194" s="54"/>
    </row>
    <row r="195" spans="7:14" s="51" customFormat="1" ht="13.15" customHeight="1" x14ac:dyDescent="0.25">
      <c r="G195" s="52"/>
      <c r="I195" s="53"/>
      <c r="J195" s="54"/>
      <c r="L195" s="53"/>
      <c r="M195" s="54"/>
      <c r="N195" s="54"/>
    </row>
    <row r="196" spans="7:14" s="51" customFormat="1" ht="13.15" customHeight="1" x14ac:dyDescent="0.25">
      <c r="G196" s="52"/>
      <c r="I196" s="53"/>
      <c r="J196" s="54"/>
      <c r="L196" s="53"/>
      <c r="M196" s="54"/>
      <c r="N196" s="54"/>
    </row>
    <row r="197" spans="7:14" s="51" customFormat="1" ht="13.15" customHeight="1" x14ac:dyDescent="0.25">
      <c r="G197" s="52"/>
      <c r="I197" s="53"/>
      <c r="J197" s="54"/>
      <c r="L197" s="53"/>
      <c r="M197" s="54"/>
      <c r="N197" s="54"/>
    </row>
    <row r="198" spans="7:14" s="51" customFormat="1" ht="13.15" customHeight="1" x14ac:dyDescent="0.25">
      <c r="G198" s="52"/>
      <c r="I198" s="53"/>
      <c r="J198" s="54"/>
      <c r="L198" s="53"/>
      <c r="M198" s="54"/>
      <c r="N198" s="54"/>
    </row>
    <row r="199" spans="7:14" s="51" customFormat="1" ht="13.15" customHeight="1" x14ac:dyDescent="0.25">
      <c r="G199" s="52"/>
      <c r="I199" s="53"/>
      <c r="J199" s="54"/>
      <c r="L199" s="53"/>
      <c r="M199" s="54"/>
      <c r="N199" s="54"/>
    </row>
    <row r="200" spans="7:14" s="51" customFormat="1" ht="13.15" customHeight="1" x14ac:dyDescent="0.25">
      <c r="G200" s="52"/>
      <c r="I200" s="53"/>
      <c r="J200" s="54"/>
      <c r="L200" s="53"/>
      <c r="M200" s="54"/>
      <c r="N200" s="54"/>
    </row>
    <row r="201" spans="7:14" s="51" customFormat="1" ht="13.15" customHeight="1" x14ac:dyDescent="0.25">
      <c r="G201" s="52"/>
      <c r="I201" s="53"/>
      <c r="J201" s="54"/>
      <c r="L201" s="53"/>
      <c r="M201" s="54"/>
      <c r="N201" s="54"/>
    </row>
    <row r="202" spans="7:14" s="51" customFormat="1" ht="13.15" customHeight="1" x14ac:dyDescent="0.25">
      <c r="G202" s="52"/>
      <c r="I202" s="53"/>
      <c r="J202" s="54"/>
      <c r="L202" s="53"/>
      <c r="M202" s="54"/>
      <c r="N202" s="54"/>
    </row>
    <row r="203" spans="7:14" s="51" customFormat="1" ht="12.75" customHeight="1" x14ac:dyDescent="0.25">
      <c r="G203" s="52"/>
      <c r="I203" s="53"/>
      <c r="J203" s="54"/>
      <c r="L203" s="53"/>
      <c r="M203" s="54"/>
      <c r="N203" s="54"/>
    </row>
    <row r="204" spans="7:14" s="51" customFormat="1" ht="13.15" customHeight="1" x14ac:dyDescent="0.25">
      <c r="G204" s="52"/>
      <c r="I204" s="53"/>
      <c r="J204" s="54"/>
      <c r="L204" s="53"/>
      <c r="M204" s="54"/>
      <c r="N204" s="54"/>
    </row>
    <row r="205" spans="7:14" s="51" customFormat="1" ht="13.15" customHeight="1" x14ac:dyDescent="0.25">
      <c r="G205" s="52"/>
      <c r="I205" s="53"/>
      <c r="J205" s="54"/>
      <c r="L205" s="53"/>
      <c r="M205" s="54"/>
      <c r="N205" s="54"/>
    </row>
    <row r="206" spans="7:14" s="51" customFormat="1" ht="13.15" customHeight="1" x14ac:dyDescent="0.25">
      <c r="G206" s="52"/>
      <c r="I206" s="53"/>
      <c r="J206" s="54"/>
      <c r="L206" s="53"/>
      <c r="M206" s="54"/>
      <c r="N206" s="54"/>
    </row>
    <row r="207" spans="7:14" s="51" customFormat="1" ht="15.6" customHeight="1" x14ac:dyDescent="0.25">
      <c r="G207" s="52"/>
      <c r="I207" s="53"/>
      <c r="J207" s="54"/>
      <c r="L207" s="53"/>
      <c r="M207" s="54"/>
      <c r="N207" s="54"/>
    </row>
    <row r="208" spans="7:14" s="51" customFormat="1" ht="13.15" customHeight="1" x14ac:dyDescent="0.25">
      <c r="G208" s="52"/>
      <c r="I208" s="53"/>
      <c r="J208" s="54"/>
      <c r="L208" s="53"/>
      <c r="M208" s="54"/>
      <c r="N208" s="54"/>
    </row>
    <row r="209" spans="4:14" s="51" customFormat="1" ht="13.15" customHeight="1" x14ac:dyDescent="0.25">
      <c r="G209" s="52"/>
      <c r="I209" s="53"/>
      <c r="J209" s="54"/>
      <c r="L209" s="53"/>
      <c r="M209" s="54"/>
      <c r="N209" s="54"/>
    </row>
    <row r="210" spans="4:14" s="51" customFormat="1" ht="13.15" customHeight="1" x14ac:dyDescent="0.25">
      <c r="G210" s="52"/>
      <c r="I210" s="53"/>
      <c r="J210" s="54"/>
      <c r="L210" s="53"/>
      <c r="M210" s="54"/>
      <c r="N210" s="54"/>
    </row>
    <row r="211" spans="4:14" s="51" customFormat="1" ht="13.15" customHeight="1" x14ac:dyDescent="0.25">
      <c r="G211" s="52"/>
      <c r="I211" s="53"/>
      <c r="J211" s="54"/>
      <c r="L211" s="53"/>
      <c r="M211" s="54"/>
      <c r="N211" s="54"/>
    </row>
    <row r="212" spans="4:14" s="51" customFormat="1" ht="13.15" customHeight="1" x14ac:dyDescent="0.25">
      <c r="G212" s="52"/>
      <c r="I212" s="53"/>
      <c r="J212" s="54"/>
      <c r="L212" s="53"/>
      <c r="M212" s="54"/>
      <c r="N212" s="54"/>
    </row>
    <row r="213" spans="4:14" s="51" customFormat="1" ht="13.15" customHeight="1" x14ac:dyDescent="0.25">
      <c r="G213" s="52"/>
      <c r="I213" s="53"/>
      <c r="J213" s="54"/>
      <c r="L213" s="53"/>
      <c r="M213" s="54"/>
      <c r="N213" s="54"/>
    </row>
    <row r="214" spans="4:14" s="51" customFormat="1" ht="13.15" customHeight="1" x14ac:dyDescent="0.25">
      <c r="G214" s="52"/>
      <c r="I214" s="53"/>
      <c r="J214" s="54"/>
      <c r="L214" s="53"/>
      <c r="M214" s="54"/>
      <c r="N214" s="54"/>
    </row>
    <row r="215" spans="4:14" s="51" customFormat="1" ht="13.15" customHeight="1" x14ac:dyDescent="0.25">
      <c r="G215" s="52"/>
      <c r="I215" s="53"/>
      <c r="J215" s="54"/>
      <c r="L215" s="53"/>
      <c r="M215" s="54"/>
      <c r="N215" s="54"/>
    </row>
    <row r="216" spans="4:14" s="51" customFormat="1" ht="13.15" customHeight="1" x14ac:dyDescent="0.25">
      <c r="G216" s="52"/>
      <c r="I216" s="53"/>
      <c r="J216" s="54"/>
      <c r="L216" s="53"/>
      <c r="M216" s="54"/>
      <c r="N216" s="54"/>
    </row>
    <row r="217" spans="4:14" s="51" customFormat="1" ht="13.15" customHeight="1" x14ac:dyDescent="0.25">
      <c r="G217" s="52"/>
      <c r="I217" s="53"/>
      <c r="J217" s="54"/>
      <c r="L217" s="53"/>
      <c r="M217" s="54"/>
      <c r="N217" s="54"/>
    </row>
    <row r="218" spans="4:14" s="51" customFormat="1" ht="13.15" customHeight="1" x14ac:dyDescent="0.25">
      <c r="G218" s="52"/>
      <c r="I218" s="53"/>
      <c r="J218" s="54"/>
      <c r="L218" s="53"/>
      <c r="M218" s="54"/>
      <c r="N218" s="54"/>
    </row>
    <row r="223" spans="4:14" s="45" customFormat="1" ht="15.75" x14ac:dyDescent="0.25">
      <c r="D223" s="55"/>
      <c r="E223" s="55"/>
      <c r="F223" s="55"/>
      <c r="G223" s="4"/>
      <c r="I223" s="56"/>
      <c r="J223" s="5"/>
      <c r="L223" s="56"/>
      <c r="M223" s="5"/>
      <c r="N223" s="5"/>
    </row>
    <row r="224" spans="4:14" s="5" customFormat="1" x14ac:dyDescent="0.2">
      <c r="D224" s="50"/>
      <c r="E224" s="50"/>
      <c r="F224" s="50"/>
      <c r="G224" s="4"/>
      <c r="I224" s="6"/>
      <c r="L224" s="6"/>
    </row>
  </sheetData>
  <mergeCells count="5">
    <mergeCell ref="A1:F1"/>
    <mergeCell ref="A2:F2"/>
    <mergeCell ref="A4:C6"/>
    <mergeCell ref="H5:P5"/>
    <mergeCell ref="Y7:AA7"/>
  </mergeCells>
  <pageMargins left="1" right="0.75" top="1" bottom="1" header="0.5" footer="0.5"/>
  <pageSetup paperSize="5" scale="63" fitToHeight="0" orientation="portrait" horizontalDpi="300" verticalDpi="300" r:id="rId1"/>
  <headerFooter alignWithMargins="0"/>
  <rowBreaks count="1" manualBreakCount="1">
    <brk id="56" max="16383" man="1"/>
  </rowBreaks>
  <colBreaks count="1" manualBreakCount="1">
    <brk id="6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CA146"/>
  <sheetViews>
    <sheetView topLeftCell="A4" zoomScaleNormal="100" workbookViewId="0">
      <pane xSplit="3" ySplit="9" topLeftCell="I13" activePane="bottomRight" state="frozen"/>
      <selection activeCell="A4" sqref="A4"/>
      <selection pane="topRight" activeCell="D4" sqref="D4"/>
      <selection pane="bottomLeft" activeCell="A10" sqref="A10"/>
      <selection pane="bottomRight" activeCell="R1" sqref="R1:S1048576"/>
    </sheetView>
  </sheetViews>
  <sheetFormatPr defaultColWidth="9.140625" defaultRowHeight="15" x14ac:dyDescent="0.2"/>
  <cols>
    <col min="1" max="1" width="5" style="59" customWidth="1"/>
    <col min="2" max="2" width="4.140625" style="59" customWidth="1"/>
    <col min="3" max="3" width="15.140625" style="59" customWidth="1"/>
    <col min="4" max="4" width="10.85546875" style="62" hidden="1" customWidth="1"/>
    <col min="5" max="5" width="12.7109375" style="62" hidden="1" customWidth="1"/>
    <col min="6" max="6" width="11.85546875" style="62" hidden="1" customWidth="1"/>
    <col min="7" max="7" width="14.28515625" style="58" hidden="1" customWidth="1"/>
    <col min="8" max="8" width="10.28515625" style="59" hidden="1" customWidth="1"/>
    <col min="9" max="9" width="11.7109375" style="60" customWidth="1"/>
    <col min="10" max="10" width="12.7109375" style="59" hidden="1" customWidth="1"/>
    <col min="11" max="11" width="11.85546875" style="60" customWidth="1"/>
    <col min="12" max="12" width="1.42578125" style="62" customWidth="1"/>
    <col min="13" max="13" width="8" style="61" customWidth="1"/>
    <col min="14" max="14" width="8.7109375" style="61" customWidth="1"/>
    <col min="15" max="15" width="8" style="61" hidden="1" customWidth="1"/>
    <col min="16" max="16" width="12.85546875" style="61" customWidth="1"/>
    <col min="17" max="17" width="8.7109375" style="61" customWidth="1"/>
    <col min="18" max="18" width="8" style="61" hidden="1" customWidth="1"/>
    <col min="19" max="19" width="8.7109375" style="61" hidden="1" customWidth="1"/>
    <col min="20" max="20" width="8" style="61" hidden="1" customWidth="1"/>
    <col min="21" max="21" width="13.7109375" style="61" customWidth="1"/>
    <col min="22" max="23" width="8.7109375" style="61" customWidth="1"/>
    <col min="24" max="24" width="11.28515625" style="161" customWidth="1"/>
    <col min="25" max="25" width="10.42578125" style="161" customWidth="1"/>
    <col min="26" max="26" width="4" style="62" customWidth="1"/>
    <col min="27" max="27" width="8" style="63" customWidth="1"/>
    <col min="28" max="28" width="8.7109375" style="63" customWidth="1"/>
    <col min="29" max="29" width="8" style="63" hidden="1" customWidth="1"/>
    <col min="30" max="30" width="12.28515625" style="63" customWidth="1"/>
    <col min="31" max="31" width="8.7109375" style="63" customWidth="1"/>
    <col min="32" max="32" width="8" style="63" customWidth="1"/>
    <col min="33" max="33" width="8.7109375" style="63" customWidth="1"/>
    <col min="34" max="34" width="8" style="63" hidden="1" customWidth="1"/>
    <col min="35" max="35" width="13.7109375" style="63" customWidth="1"/>
    <col min="36" max="37" width="8.7109375" style="63" customWidth="1"/>
    <col min="38" max="38" width="2.7109375" style="62" customWidth="1"/>
    <col min="39" max="40" width="8.140625" style="64" customWidth="1"/>
    <col min="41" max="41" width="8.140625" style="64" hidden="1" customWidth="1"/>
    <col min="42" max="45" width="8.140625" style="64" customWidth="1"/>
    <col min="46" max="46" width="8.140625" style="64" hidden="1" customWidth="1"/>
    <col min="47" max="49" width="8.140625" style="64" customWidth="1"/>
    <col min="50" max="51" width="8.140625" style="62" customWidth="1"/>
    <col min="52" max="52" width="7.85546875" style="62" customWidth="1"/>
    <col min="53" max="53" width="8.7109375" style="65" customWidth="1"/>
    <col min="54" max="54" width="7.28515625" style="65" customWidth="1"/>
    <col min="55" max="57" width="8.7109375" style="65" customWidth="1"/>
    <col min="58" max="58" width="8" style="62" customWidth="1"/>
    <col min="59" max="59" width="8.7109375" style="65" customWidth="1"/>
    <col min="60" max="60" width="7.28515625" style="65" customWidth="1"/>
    <col min="61" max="63" width="8.7109375" style="65" customWidth="1"/>
    <col min="64" max="64" width="13" style="66" customWidth="1"/>
    <col min="65" max="65" width="9.5703125" style="67" customWidth="1"/>
    <col min="66" max="66" width="46.42578125" style="66" customWidth="1"/>
    <col min="67" max="68" width="9.28515625" style="59" bestFit="1" customWidth="1"/>
    <col min="69" max="74" width="9.140625" style="59"/>
    <col min="75" max="75" width="12" style="59" customWidth="1"/>
    <col min="76" max="76" width="11.28515625" style="59" bestFit="1" customWidth="1"/>
    <col min="77" max="77" width="12.7109375" style="59" customWidth="1"/>
    <col min="78" max="16384" width="9.140625" style="59"/>
  </cols>
  <sheetData>
    <row r="1" spans="1:79" ht="15.75" x14ac:dyDescent="0.25">
      <c r="A1" s="186" t="s">
        <v>0</v>
      </c>
      <c r="B1" s="186"/>
      <c r="C1" s="186"/>
      <c r="D1" s="186"/>
      <c r="E1" s="186"/>
      <c r="F1" s="186"/>
    </row>
    <row r="2" spans="1:79" x14ac:dyDescent="0.2">
      <c r="A2" s="187" t="s">
        <v>1</v>
      </c>
      <c r="B2" s="187"/>
      <c r="C2" s="187"/>
      <c r="D2" s="187"/>
      <c r="E2" s="187"/>
      <c r="F2" s="187"/>
    </row>
    <row r="3" spans="1:79" ht="15.75" thickBot="1" x14ac:dyDescent="0.25">
      <c r="A3" s="68"/>
      <c r="B3" s="68"/>
      <c r="C3" s="68"/>
      <c r="D3" s="68"/>
      <c r="E3" s="68"/>
      <c r="F3" s="68"/>
      <c r="G3" s="58">
        <v>2892</v>
      </c>
    </row>
    <row r="4" spans="1:79" ht="12.75" hidden="1" customHeight="1" x14ac:dyDescent="0.2">
      <c r="A4" s="188" t="s">
        <v>2</v>
      </c>
      <c r="B4" s="188"/>
      <c r="C4" s="188"/>
      <c r="D4" s="69"/>
      <c r="E4" s="69"/>
      <c r="F4" s="69"/>
    </row>
    <row r="5" spans="1:79" ht="15.75" hidden="1" thickBot="1" x14ac:dyDescent="0.25">
      <c r="A5" s="188"/>
      <c r="B5" s="188"/>
      <c r="C5" s="188"/>
      <c r="D5" s="72" t="s">
        <v>3</v>
      </c>
      <c r="E5" s="72" t="s">
        <v>4</v>
      </c>
      <c r="F5" s="72" t="s">
        <v>5</v>
      </c>
      <c r="G5" s="71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90"/>
      <c r="X5" s="190"/>
      <c r="Y5" s="190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90"/>
      <c r="AL5" s="189"/>
      <c r="AM5" s="189"/>
      <c r="AN5" s="189"/>
      <c r="AO5" s="189"/>
      <c r="AP5" s="189"/>
      <c r="AQ5" s="189"/>
      <c r="AR5" s="189"/>
      <c r="AS5" s="189"/>
      <c r="AT5" s="189"/>
      <c r="AU5" s="189"/>
      <c r="AV5" s="189"/>
      <c r="AW5" s="190"/>
      <c r="AX5" s="189"/>
      <c r="AY5" s="189"/>
      <c r="AZ5" s="189"/>
      <c r="BA5" s="189"/>
      <c r="BB5" s="189"/>
      <c r="BC5" s="189"/>
      <c r="BD5" s="189"/>
      <c r="BE5" s="189"/>
      <c r="BF5" s="189"/>
      <c r="BG5" s="189"/>
      <c r="BH5" s="189"/>
      <c r="BI5" s="189"/>
      <c r="BJ5" s="189"/>
      <c r="BK5" s="189"/>
      <c r="BL5" s="189"/>
      <c r="BM5" s="189"/>
      <c r="BN5" s="189"/>
      <c r="BO5" s="189"/>
      <c r="BP5" s="189"/>
    </row>
    <row r="6" spans="1:79" x14ac:dyDescent="0.2">
      <c r="A6" s="188"/>
      <c r="B6" s="188"/>
      <c r="C6" s="188"/>
      <c r="D6" s="72"/>
      <c r="E6" s="72"/>
      <c r="F6" s="72"/>
      <c r="G6" s="71"/>
      <c r="H6" s="72"/>
      <c r="I6" s="72"/>
      <c r="J6" s="72"/>
      <c r="K6" s="72"/>
      <c r="L6" s="72"/>
      <c r="M6" s="191" t="s">
        <v>126</v>
      </c>
      <c r="N6" s="191"/>
      <c r="O6" s="191"/>
      <c r="P6" s="191"/>
      <c r="Q6" s="191"/>
      <c r="R6" s="191"/>
      <c r="S6" s="191"/>
      <c r="T6" s="191"/>
      <c r="U6" s="191"/>
      <c r="V6" s="192"/>
      <c r="W6" s="154" t="s">
        <v>124</v>
      </c>
      <c r="X6" s="162"/>
      <c r="Y6" s="162"/>
      <c r="Z6" s="152"/>
      <c r="AA6" s="193" t="s">
        <v>121</v>
      </c>
      <c r="AB6" s="193"/>
      <c r="AC6" s="193"/>
      <c r="AD6" s="193"/>
      <c r="AE6" s="193"/>
      <c r="AF6" s="193"/>
      <c r="AG6" s="193"/>
      <c r="AH6" s="193"/>
      <c r="AI6" s="193"/>
      <c r="AJ6" s="194"/>
      <c r="AK6" s="157" t="s">
        <v>124</v>
      </c>
      <c r="AL6" s="148"/>
      <c r="AM6" s="195" t="s">
        <v>125</v>
      </c>
      <c r="AN6" s="195"/>
      <c r="AO6" s="195"/>
      <c r="AP6" s="195"/>
      <c r="AQ6" s="195"/>
      <c r="AR6" s="195"/>
      <c r="AS6" s="195"/>
      <c r="AT6" s="195"/>
      <c r="AU6" s="195"/>
      <c r="AV6" s="196"/>
      <c r="AW6" s="158" t="s">
        <v>124</v>
      </c>
      <c r="AX6" s="148"/>
      <c r="AY6" s="69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</row>
    <row r="7" spans="1:79" ht="16.5" thickBot="1" x14ac:dyDescent="0.3">
      <c r="A7" s="188"/>
      <c r="B7" s="188"/>
      <c r="C7" s="188"/>
      <c r="D7" s="72"/>
      <c r="E7" s="72"/>
      <c r="F7" s="72"/>
      <c r="G7" s="71"/>
      <c r="H7" s="72"/>
      <c r="I7" s="95">
        <v>2886</v>
      </c>
      <c r="J7" s="144"/>
      <c r="K7" s="95">
        <v>1670</v>
      </c>
      <c r="L7" s="144"/>
      <c r="M7" s="197" t="s">
        <v>116</v>
      </c>
      <c r="N7" s="197"/>
      <c r="O7" s="197"/>
      <c r="P7" s="197"/>
      <c r="Q7" s="197"/>
      <c r="R7" s="197" t="s">
        <v>107</v>
      </c>
      <c r="S7" s="197"/>
      <c r="T7" s="197"/>
      <c r="U7" s="197"/>
      <c r="V7" s="198"/>
      <c r="W7" s="155">
        <f>2230-W10</f>
        <v>-0.34499999999979991</v>
      </c>
      <c r="X7" s="163"/>
      <c r="Y7" s="163"/>
      <c r="Z7" s="149"/>
      <c r="AA7" s="199" t="s">
        <v>116</v>
      </c>
      <c r="AB7" s="199"/>
      <c r="AC7" s="199"/>
      <c r="AD7" s="199"/>
      <c r="AE7" s="199"/>
      <c r="AF7" s="199" t="s">
        <v>107</v>
      </c>
      <c r="AG7" s="199"/>
      <c r="AH7" s="199"/>
      <c r="AI7" s="199"/>
      <c r="AJ7" s="201"/>
      <c r="AK7" s="155">
        <f>656-AK10</f>
        <v>0</v>
      </c>
      <c r="AL7" s="152"/>
      <c r="AM7" s="202" t="s">
        <v>116</v>
      </c>
      <c r="AN7" s="202"/>
      <c r="AO7" s="202"/>
      <c r="AP7" s="202"/>
      <c r="AQ7" s="202"/>
      <c r="AR7" s="202" t="s">
        <v>107</v>
      </c>
      <c r="AS7" s="202"/>
      <c r="AT7" s="202"/>
      <c r="AU7" s="202"/>
      <c r="AV7" s="203"/>
      <c r="AW7" s="155">
        <f>1670-AW10</f>
        <v>748.91000000000008</v>
      </c>
      <c r="AX7" s="149"/>
      <c r="AY7" s="73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</row>
    <row r="8" spans="1:79" ht="25.5" customHeight="1" x14ac:dyDescent="0.2">
      <c r="A8" s="188"/>
      <c r="B8" s="188"/>
      <c r="C8" s="188"/>
      <c r="D8" s="72"/>
      <c r="E8" s="72"/>
      <c r="F8" s="72"/>
      <c r="G8" s="71"/>
      <c r="H8" s="72"/>
      <c r="I8" s="204" t="s">
        <v>86</v>
      </c>
      <c r="J8" s="205"/>
      <c r="K8" s="206"/>
      <c r="L8" s="151"/>
      <c r="M8" s="207" t="s">
        <v>115</v>
      </c>
      <c r="N8" s="207"/>
      <c r="O8" s="207" t="s">
        <v>117</v>
      </c>
      <c r="P8" s="207"/>
      <c r="Q8" s="208" t="s">
        <v>118</v>
      </c>
      <c r="R8" s="209" t="s">
        <v>115</v>
      </c>
      <c r="S8" s="209"/>
      <c r="T8" s="207" t="s">
        <v>117</v>
      </c>
      <c r="U8" s="207"/>
      <c r="V8" s="208" t="s">
        <v>118</v>
      </c>
      <c r="W8" s="153"/>
      <c r="X8" s="164"/>
      <c r="Y8" s="164"/>
      <c r="Z8" s="75"/>
      <c r="AA8" s="210" t="s">
        <v>115</v>
      </c>
      <c r="AB8" s="210"/>
      <c r="AC8" s="210" t="s">
        <v>117</v>
      </c>
      <c r="AD8" s="210"/>
      <c r="AE8" s="200" t="s">
        <v>118</v>
      </c>
      <c r="AF8" s="211" t="s">
        <v>115</v>
      </c>
      <c r="AG8" s="211"/>
      <c r="AH8" s="210" t="s">
        <v>117</v>
      </c>
      <c r="AI8" s="210"/>
      <c r="AJ8" s="200" t="s">
        <v>118</v>
      </c>
      <c r="AK8" s="156"/>
      <c r="AL8" s="75"/>
      <c r="AM8" s="214" t="s">
        <v>115</v>
      </c>
      <c r="AN8" s="214"/>
      <c r="AO8" s="214" t="s">
        <v>117</v>
      </c>
      <c r="AP8" s="214"/>
      <c r="AQ8" s="215" t="s">
        <v>118</v>
      </c>
      <c r="AR8" s="216" t="s">
        <v>115</v>
      </c>
      <c r="AS8" s="216"/>
      <c r="AT8" s="214" t="s">
        <v>117</v>
      </c>
      <c r="AU8" s="214"/>
      <c r="AV8" s="215" t="s">
        <v>118</v>
      </c>
      <c r="AW8" s="150"/>
      <c r="AX8" s="75"/>
      <c r="AY8" s="75"/>
      <c r="AZ8" s="69"/>
      <c r="BA8" s="80"/>
      <c r="BB8" s="78"/>
      <c r="BC8" s="78"/>
      <c r="BD8" s="79">
        <f>2230-BD10</f>
        <v>569.65250000000015</v>
      </c>
      <c r="BE8" s="80"/>
      <c r="BF8" s="212" t="s">
        <v>114</v>
      </c>
      <c r="BG8" s="212"/>
      <c r="BH8" s="212"/>
      <c r="BI8" s="212"/>
      <c r="BJ8" s="212"/>
      <c r="BK8" s="80" t="s">
        <v>108</v>
      </c>
      <c r="BL8" s="81"/>
      <c r="BM8" s="82" t="s">
        <v>112</v>
      </c>
      <c r="BN8" s="83"/>
      <c r="BO8" s="72"/>
      <c r="BP8" s="72"/>
    </row>
    <row r="9" spans="1:79" ht="25.5" x14ac:dyDescent="0.2">
      <c r="A9" s="188"/>
      <c r="B9" s="188"/>
      <c r="C9" s="188"/>
      <c r="D9" s="72"/>
      <c r="E9" s="72"/>
      <c r="F9" s="72"/>
      <c r="H9" s="59" t="s">
        <v>6</v>
      </c>
      <c r="I9" s="84" t="s">
        <v>80</v>
      </c>
      <c r="J9" s="59" t="s">
        <v>7</v>
      </c>
      <c r="K9" s="84" t="s">
        <v>81</v>
      </c>
      <c r="L9" s="75"/>
      <c r="M9" s="85" t="s">
        <v>79</v>
      </c>
      <c r="N9" s="86" t="s">
        <v>119</v>
      </c>
      <c r="O9" s="85" t="s">
        <v>79</v>
      </c>
      <c r="P9" s="86" t="s">
        <v>119</v>
      </c>
      <c r="Q9" s="208"/>
      <c r="R9" s="85" t="s">
        <v>79</v>
      </c>
      <c r="S9" s="86" t="s">
        <v>119</v>
      </c>
      <c r="T9" s="85" t="s">
        <v>79</v>
      </c>
      <c r="U9" s="86" t="s">
        <v>119</v>
      </c>
      <c r="V9" s="208"/>
      <c r="W9" s="74" t="s">
        <v>120</v>
      </c>
      <c r="X9" s="83" t="s">
        <v>127</v>
      </c>
      <c r="Y9" s="165" t="s">
        <v>128</v>
      </c>
      <c r="Z9" s="75"/>
      <c r="AA9" s="87" t="s">
        <v>79</v>
      </c>
      <c r="AB9" s="88" t="s">
        <v>119</v>
      </c>
      <c r="AC9" s="87" t="s">
        <v>79</v>
      </c>
      <c r="AD9" s="88" t="s">
        <v>119</v>
      </c>
      <c r="AE9" s="200"/>
      <c r="AF9" s="87" t="s">
        <v>79</v>
      </c>
      <c r="AG9" s="88" t="s">
        <v>119</v>
      </c>
      <c r="AH9" s="87" t="s">
        <v>79</v>
      </c>
      <c r="AI9" s="88" t="s">
        <v>119</v>
      </c>
      <c r="AJ9" s="200"/>
      <c r="AK9" s="76" t="s">
        <v>120</v>
      </c>
      <c r="AL9" s="75"/>
      <c r="AM9" s="89" t="s">
        <v>79</v>
      </c>
      <c r="AN9" s="90" t="s">
        <v>119</v>
      </c>
      <c r="AO9" s="89" t="s">
        <v>79</v>
      </c>
      <c r="AP9" s="90" t="s">
        <v>119</v>
      </c>
      <c r="AQ9" s="215"/>
      <c r="AR9" s="89" t="s">
        <v>79</v>
      </c>
      <c r="AS9" s="90" t="s">
        <v>119</v>
      </c>
      <c r="AT9" s="89" t="s">
        <v>79</v>
      </c>
      <c r="AU9" s="90" t="s">
        <v>119</v>
      </c>
      <c r="AV9" s="215"/>
      <c r="AW9" s="77" t="s">
        <v>120</v>
      </c>
      <c r="AX9" s="75"/>
      <c r="AY9" s="75"/>
      <c r="AZ9" s="75"/>
      <c r="BA9" s="92" t="s">
        <v>110</v>
      </c>
      <c r="BB9" s="92" t="s">
        <v>107</v>
      </c>
      <c r="BC9" s="92" t="s">
        <v>110</v>
      </c>
      <c r="BD9" s="92" t="s">
        <v>111</v>
      </c>
      <c r="BE9" s="92"/>
      <c r="BF9" s="91" t="s">
        <v>79</v>
      </c>
      <c r="BG9" s="92" t="s">
        <v>109</v>
      </c>
      <c r="BH9" s="92" t="s">
        <v>107</v>
      </c>
      <c r="BI9" s="92" t="s">
        <v>110</v>
      </c>
      <c r="BJ9" s="92" t="s">
        <v>111</v>
      </c>
      <c r="BK9" s="92"/>
      <c r="BL9" s="93" t="s">
        <v>82</v>
      </c>
      <c r="BM9" s="94" t="s">
        <v>80</v>
      </c>
      <c r="BN9" s="83" t="s">
        <v>89</v>
      </c>
    </row>
    <row r="10" spans="1:79" s="136" customFormat="1" ht="18" x14ac:dyDescent="0.25">
      <c r="A10" s="136" t="s">
        <v>8</v>
      </c>
      <c r="B10" s="137"/>
      <c r="C10" s="137">
        <v>45</v>
      </c>
      <c r="D10" s="138">
        <v>23041.438583801275</v>
      </c>
      <c r="E10" s="138">
        <v>24336.071416198702</v>
      </c>
      <c r="F10" s="138">
        <v>47377.51</v>
      </c>
      <c r="G10" s="139"/>
      <c r="H10" s="140">
        <f>SUM(H13:H59)</f>
        <v>2891.8518915952554</v>
      </c>
      <c r="I10" s="140">
        <f>SUM(I11+I25+I40)</f>
        <v>2886</v>
      </c>
      <c r="J10" s="141">
        <f>SUM(J13:J59)</f>
        <v>1669.8446261978138</v>
      </c>
      <c r="K10" s="140">
        <f>SUM(K11+K25+K40)</f>
        <v>1670</v>
      </c>
      <c r="L10" s="96"/>
      <c r="M10" s="141"/>
      <c r="N10" s="140">
        <f>SUM(N11+N25+N40)</f>
        <v>1036.3474999999999</v>
      </c>
      <c r="O10" s="141"/>
      <c r="P10" s="140">
        <f>SUM(P11+P25+P40)</f>
        <v>93.997500000000002</v>
      </c>
      <c r="Q10" s="140">
        <f>SUM(Q11+Q25+Q40)</f>
        <v>1130.345</v>
      </c>
      <c r="R10" s="141"/>
      <c r="S10" s="140">
        <f>SUM(S11+S25+S40)</f>
        <v>0</v>
      </c>
      <c r="T10" s="141"/>
      <c r="U10" s="140">
        <f>SUM(U11+U25+U40)</f>
        <v>1100</v>
      </c>
      <c r="V10" s="140">
        <f>SUM(V11+V25+V40)</f>
        <v>1100</v>
      </c>
      <c r="W10" s="140">
        <f>SUM(W11+W25+W40)</f>
        <v>2230.3449999999998</v>
      </c>
      <c r="X10" s="166"/>
      <c r="Y10" s="166"/>
      <c r="Z10" s="140"/>
      <c r="AA10" s="141"/>
      <c r="AB10" s="140">
        <f>SUM(AB11+AB25+AB40)</f>
        <v>197</v>
      </c>
      <c r="AC10" s="141"/>
      <c r="AD10" s="140">
        <f>SUM(AD11+AD25+AD40)</f>
        <v>171</v>
      </c>
      <c r="AE10" s="140">
        <f>SUM(AE11+AE25+AE40)</f>
        <v>368</v>
      </c>
      <c r="AF10" s="141"/>
      <c r="AG10" s="140">
        <f>SUM(AG11+AG25+AG40)</f>
        <v>0</v>
      </c>
      <c r="AH10" s="141"/>
      <c r="AI10" s="140">
        <f>SUM(AI11+AI25+AI40)</f>
        <v>288</v>
      </c>
      <c r="AJ10" s="140">
        <f>SUM(AJ11+AJ25+AJ40)</f>
        <v>288</v>
      </c>
      <c r="AK10" s="140">
        <f>SUM(AK11+AK25+AK40)</f>
        <v>656</v>
      </c>
      <c r="AL10" s="140"/>
      <c r="AM10" s="141"/>
      <c r="AN10" s="140">
        <f>SUM(AN11+AN25+AN40)</f>
        <v>921.08999999999992</v>
      </c>
      <c r="AO10" s="141"/>
      <c r="AP10" s="140">
        <f>SUM(AP11+AP25+AP40)</f>
        <v>0</v>
      </c>
      <c r="AQ10" s="140">
        <f>SUM(AQ11+AQ25+AQ40)</f>
        <v>921.08999999999992</v>
      </c>
      <c r="AR10" s="141"/>
      <c r="AS10" s="140">
        <f>SUM(AS11+AS25+AS40)</f>
        <v>0</v>
      </c>
      <c r="AT10" s="141"/>
      <c r="AU10" s="140">
        <f>SUM(AU11+AU25+AU40)</f>
        <v>0</v>
      </c>
      <c r="AV10" s="140">
        <f>SUM(AV11+AV25+AV40)</f>
        <v>0</v>
      </c>
      <c r="AW10" s="140">
        <f>SUM(AW11+AW25+AW40)</f>
        <v>921.08999999999992</v>
      </c>
      <c r="AX10" s="140"/>
      <c r="AY10" s="140"/>
      <c r="AZ10" s="140"/>
      <c r="BA10" s="140"/>
      <c r="BB10" s="140"/>
      <c r="BC10" s="140"/>
      <c r="BD10" s="140">
        <f>SUM(BD11+BD25+BD40)</f>
        <v>1660.3474999999999</v>
      </c>
      <c r="BE10" s="140"/>
      <c r="BF10" s="141"/>
      <c r="BG10" s="140">
        <f>SUM(BG11+BG25+BG40)</f>
        <v>197</v>
      </c>
      <c r="BH10" s="140"/>
      <c r="BI10" s="140"/>
      <c r="BJ10" s="140">
        <f>SUM(BJ11+BJ25+BJ40)</f>
        <v>368</v>
      </c>
      <c r="BK10" s="140">
        <f>SUM(BK11+BK25+BK40)</f>
        <v>2028.3474999999999</v>
      </c>
      <c r="BL10" s="142"/>
      <c r="BM10" s="140">
        <f>SUM(BM11+BM25+BM40)</f>
        <v>-1225.6524999999999</v>
      </c>
      <c r="BN10" s="140"/>
      <c r="BO10" s="143" t="s">
        <v>9</v>
      </c>
      <c r="BP10" s="143"/>
      <c r="BQ10" s="143"/>
      <c r="BR10" s="143"/>
      <c r="BS10" s="143"/>
      <c r="BT10" s="143"/>
      <c r="BU10" s="143"/>
      <c r="BV10" s="143" t="s">
        <v>10</v>
      </c>
      <c r="BW10" s="143" t="s">
        <v>11</v>
      </c>
      <c r="BX10" s="143" t="s">
        <v>12</v>
      </c>
      <c r="BY10" s="213" t="s">
        <v>13</v>
      </c>
      <c r="BZ10" s="213"/>
      <c r="CA10" s="213"/>
    </row>
    <row r="11" spans="1:79" s="100" customFormat="1" ht="18" x14ac:dyDescent="0.25">
      <c r="A11" s="99" t="s">
        <v>14</v>
      </c>
      <c r="C11" s="101">
        <v>12</v>
      </c>
      <c r="D11" s="102">
        <v>1141.9625725706671</v>
      </c>
      <c r="E11" s="102">
        <v>4227.5374274293326</v>
      </c>
      <c r="F11" s="102">
        <v>5369.5</v>
      </c>
      <c r="G11" s="103">
        <f>F11/47378</f>
        <v>0.11333319262104774</v>
      </c>
      <c r="I11" s="104">
        <f>SUM(I13:I24)</f>
        <v>325</v>
      </c>
      <c r="K11" s="104">
        <f>SUM(K13:K24)</f>
        <v>189</v>
      </c>
      <c r="L11" s="105"/>
      <c r="N11" s="104">
        <f>SUM(N13:N24)</f>
        <v>205.7525</v>
      </c>
      <c r="P11" s="104">
        <f>SUM(P13:P24)</f>
        <v>23.997500000000002</v>
      </c>
      <c r="Q11" s="104">
        <f>SUM(Q13:Q24)</f>
        <v>229.75</v>
      </c>
      <c r="S11" s="104">
        <f>SUM(S13:S24)</f>
        <v>0</v>
      </c>
      <c r="U11" s="104">
        <f>SUM(U13:U24)</f>
        <v>0</v>
      </c>
      <c r="V11" s="104">
        <f>SUM(V13:V24)</f>
        <v>0</v>
      </c>
      <c r="W11" s="104">
        <f>SUM(W13:W24)</f>
        <v>229.75</v>
      </c>
      <c r="X11" s="161"/>
      <c r="Y11" s="161"/>
      <c r="Z11" s="104"/>
      <c r="AB11" s="104">
        <f>SUM(AB13:AB24)</f>
        <v>0</v>
      </c>
      <c r="AD11" s="104">
        <f>SUM(AD13:AD24)</f>
        <v>0</v>
      </c>
      <c r="AE11" s="104">
        <f>SUM(AE13:AE24)</f>
        <v>0</v>
      </c>
      <c r="AG11" s="104">
        <f>SUM(AG13:AG24)</f>
        <v>0</v>
      </c>
      <c r="AI11" s="104">
        <f>SUM(AI13:AI24)</f>
        <v>0</v>
      </c>
      <c r="AJ11" s="104">
        <f>SUM(AJ13:AJ24)</f>
        <v>0</v>
      </c>
      <c r="AK11" s="104">
        <f>SUM(AK13:AK24)</f>
        <v>0</v>
      </c>
      <c r="AL11" s="104"/>
      <c r="AN11" s="104">
        <f>SUM(AN13:AN24)</f>
        <v>92.89</v>
      </c>
      <c r="AP11" s="104">
        <f>SUM(AP13:AP24)</f>
        <v>0</v>
      </c>
      <c r="AQ11" s="104">
        <f>SUM(AQ13:AQ24)</f>
        <v>92.89</v>
      </c>
      <c r="AS11" s="104">
        <f>SUM(AS13:AS24)</f>
        <v>0</v>
      </c>
      <c r="AU11" s="104">
        <f>SUM(AU13:AU24)</f>
        <v>0</v>
      </c>
      <c r="AV11" s="104">
        <f>SUM(AV13:AV24)</f>
        <v>0</v>
      </c>
      <c r="AW11" s="104">
        <f>SUM(AW13:AW24)</f>
        <v>92.89</v>
      </c>
      <c r="AX11" s="105"/>
      <c r="AY11" s="105"/>
      <c r="AZ11" s="104"/>
      <c r="BA11" s="104"/>
      <c r="BB11" s="104">
        <f>SUM(BB13:BB24)</f>
        <v>0</v>
      </c>
      <c r="BC11" s="104">
        <f>SUM(BC13:BC24)</f>
        <v>24</v>
      </c>
      <c r="BD11" s="104">
        <f>SUM(BD13:BD24)</f>
        <v>229.7525</v>
      </c>
      <c r="BE11" s="104"/>
      <c r="BG11" s="104">
        <f>SUM(BG13:BG24)</f>
        <v>0</v>
      </c>
      <c r="BH11" s="104">
        <f>SUM(BH13:BH24)</f>
        <v>0</v>
      </c>
      <c r="BI11" s="104">
        <f>SUM(BI13:BI24)</f>
        <v>0</v>
      </c>
      <c r="BJ11" s="104">
        <f>SUM(BJ13:BJ24)</f>
        <v>0</v>
      </c>
      <c r="BK11" s="104">
        <f>SUM(BK13:BK24)</f>
        <v>229.7525</v>
      </c>
      <c r="BL11" s="106"/>
      <c r="BM11" s="104">
        <f>SUM(BM13:BM24)</f>
        <v>-95.247500000000002</v>
      </c>
      <c r="BN11" s="104"/>
      <c r="BO11" s="107" t="s">
        <v>15</v>
      </c>
      <c r="BP11" s="107" t="s">
        <v>16</v>
      </c>
      <c r="BQ11" s="107" t="s">
        <v>17</v>
      </c>
      <c r="BR11" s="107" t="s">
        <v>18</v>
      </c>
      <c r="BS11" s="107" t="s">
        <v>19</v>
      </c>
      <c r="BT11" s="107" t="s">
        <v>20</v>
      </c>
      <c r="BU11" s="107" t="s">
        <v>21</v>
      </c>
      <c r="BV11" s="107" t="s">
        <v>22</v>
      </c>
      <c r="BW11" s="107" t="s">
        <v>23</v>
      </c>
      <c r="BX11" s="107" t="s">
        <v>24</v>
      </c>
      <c r="BY11" s="107" t="s">
        <v>25</v>
      </c>
      <c r="BZ11" s="107" t="s">
        <v>26</v>
      </c>
      <c r="CA11" s="108" t="s">
        <v>27</v>
      </c>
    </row>
    <row r="12" spans="1:79" ht="15.75" x14ac:dyDescent="0.25">
      <c r="A12" s="68"/>
      <c r="D12" s="95"/>
      <c r="E12" s="95"/>
      <c r="F12" s="95"/>
      <c r="BO12" s="97" t="s">
        <v>28</v>
      </c>
      <c r="BP12" s="97">
        <v>823</v>
      </c>
      <c r="BQ12" s="97">
        <v>71</v>
      </c>
      <c r="BR12" s="97">
        <v>123</v>
      </c>
      <c r="BS12" s="97">
        <v>126</v>
      </c>
      <c r="BT12" s="97">
        <v>378</v>
      </c>
      <c r="BU12" s="97">
        <v>837</v>
      </c>
      <c r="BV12" s="98">
        <v>425</v>
      </c>
      <c r="BW12" s="98">
        <v>493</v>
      </c>
      <c r="BX12" s="98">
        <v>723</v>
      </c>
      <c r="BY12" s="109">
        <v>289</v>
      </c>
      <c r="BZ12" s="109">
        <v>165</v>
      </c>
      <c r="CA12" s="110">
        <v>192</v>
      </c>
    </row>
    <row r="13" spans="1:79" x14ac:dyDescent="0.2">
      <c r="B13" s="68">
        <v>1</v>
      </c>
      <c r="C13" s="59" t="s">
        <v>29</v>
      </c>
      <c r="D13" s="71">
        <v>1.64468925478253</v>
      </c>
      <c r="E13" s="71">
        <v>112.85531074521748</v>
      </c>
      <c r="F13" s="71">
        <v>114.5</v>
      </c>
      <c r="G13" s="111">
        <f t="shared" ref="G13:G24" si="0">F13/47378</f>
        <v>2.4167335050023215E-3</v>
      </c>
      <c r="H13" s="58">
        <f>G13*2892</f>
        <v>6.9891932964667136</v>
      </c>
      <c r="I13" s="112">
        <v>7</v>
      </c>
      <c r="J13" s="58">
        <f>G13*1670</f>
        <v>4.0359449533538774</v>
      </c>
      <c r="K13" s="112">
        <v>4</v>
      </c>
      <c r="L13" s="105"/>
      <c r="M13" s="113">
        <v>280</v>
      </c>
      <c r="N13" s="114">
        <f t="shared" ref="N13:N19" si="1">M13/40</f>
        <v>7</v>
      </c>
      <c r="O13" s="114">
        <v>280</v>
      </c>
      <c r="P13" s="114"/>
      <c r="Q13" s="114">
        <f>N13+P13</f>
        <v>7</v>
      </c>
      <c r="R13" s="114"/>
      <c r="S13" s="114">
        <f t="shared" ref="S13:S19" si="2">R13/40</f>
        <v>0</v>
      </c>
      <c r="T13" s="114">
        <v>280</v>
      </c>
      <c r="U13" s="114"/>
      <c r="V13" s="114">
        <f>S13+U13</f>
        <v>0</v>
      </c>
      <c r="W13" s="114">
        <f>V13+Q13</f>
        <v>7</v>
      </c>
      <c r="Z13" s="105"/>
      <c r="AA13" s="113"/>
      <c r="AB13" s="115">
        <f t="shared" ref="AB13:AB19" si="3">AA13/40</f>
        <v>0</v>
      </c>
      <c r="AC13" s="115">
        <v>280</v>
      </c>
      <c r="AD13" s="115"/>
      <c r="AE13" s="115">
        <f>AB13+AD13</f>
        <v>0</v>
      </c>
      <c r="AF13" s="115"/>
      <c r="AG13" s="115">
        <f t="shared" ref="AG13:AG19" si="4">AF13/40</f>
        <v>0</v>
      </c>
      <c r="AH13" s="115">
        <v>280</v>
      </c>
      <c r="AI13" s="115"/>
      <c r="AJ13" s="115">
        <f>AG13+AI13</f>
        <v>0</v>
      </c>
      <c r="AK13" s="115">
        <f>AJ13+AE13</f>
        <v>0</v>
      </c>
      <c r="AL13" s="105"/>
      <c r="AM13" s="105">
        <v>180</v>
      </c>
      <c r="AN13" s="116">
        <f>AM13/15</f>
        <v>12</v>
      </c>
      <c r="AO13" s="116"/>
      <c r="AP13" s="116"/>
      <c r="AQ13" s="116">
        <f>AN13+AP13</f>
        <v>12</v>
      </c>
      <c r="AR13" s="105"/>
      <c r="AS13" s="116">
        <f t="shared" ref="AS13:AS19" si="5">AR13/40</f>
        <v>0</v>
      </c>
      <c r="AT13" s="116"/>
      <c r="AU13" s="116"/>
      <c r="AV13" s="116">
        <f>AS13+AU13</f>
        <v>0</v>
      </c>
      <c r="AW13" s="116">
        <f>AV13+AQ13</f>
        <v>12</v>
      </c>
      <c r="AX13" s="105"/>
      <c r="AY13" s="105"/>
      <c r="AZ13" s="105"/>
      <c r="BA13" s="117"/>
      <c r="BB13" s="117"/>
      <c r="BC13" s="117"/>
      <c r="BD13" s="117">
        <f t="shared" ref="BD13:BD24" si="6">N13+BB13+BC13</f>
        <v>7</v>
      </c>
      <c r="BE13" s="117"/>
      <c r="BF13" s="105"/>
      <c r="BG13" s="117">
        <f t="shared" ref="BG13:BG19" si="7">BF13/40</f>
        <v>0</v>
      </c>
      <c r="BH13" s="117"/>
      <c r="BI13" s="117"/>
      <c r="BJ13" s="117">
        <f>BG13+BH13+BI13</f>
        <v>0</v>
      </c>
      <c r="BK13" s="117">
        <f>BD13+BJ13</f>
        <v>7</v>
      </c>
      <c r="BL13" s="66" t="s">
        <v>85</v>
      </c>
      <c r="BM13" s="118">
        <f t="shared" ref="BM13:BM24" si="8">BD13-I13</f>
        <v>0</v>
      </c>
      <c r="BN13" s="119" t="s">
        <v>90</v>
      </c>
      <c r="BV13" s="120"/>
      <c r="BW13" s="120" t="s">
        <v>30</v>
      </c>
      <c r="BX13" s="121">
        <f>SUM(BV12:CA12)</f>
        <v>2287</v>
      </c>
      <c r="BY13" s="121"/>
    </row>
    <row r="14" spans="1:79" x14ac:dyDescent="0.2">
      <c r="B14" s="68">
        <v>2</v>
      </c>
      <c r="C14" s="59" t="s">
        <v>31</v>
      </c>
      <c r="D14" s="71">
        <v>82.2344627391263</v>
      </c>
      <c r="E14" s="71">
        <v>419.76553726087371</v>
      </c>
      <c r="F14" s="71">
        <v>502</v>
      </c>
      <c r="G14" s="111">
        <f t="shared" si="0"/>
        <v>1.0595635104901009E-2</v>
      </c>
      <c r="H14" s="58">
        <f>G14*2892</f>
        <v>30.642576723373718</v>
      </c>
      <c r="I14" s="112">
        <v>30</v>
      </c>
      <c r="J14" s="58">
        <f>G14*1670</f>
        <v>17.694710625184683</v>
      </c>
      <c r="K14" s="112">
        <v>18</v>
      </c>
      <c r="L14" s="105"/>
      <c r="M14" s="113">
        <f>660+580</f>
        <v>1240</v>
      </c>
      <c r="N14" s="114">
        <f t="shared" si="1"/>
        <v>31</v>
      </c>
      <c r="O14" s="114">
        <f>660+580</f>
        <v>1240</v>
      </c>
      <c r="P14" s="114"/>
      <c r="Q14" s="114">
        <f t="shared" ref="Q14:Q59" si="9">N14+P14</f>
        <v>31</v>
      </c>
      <c r="R14" s="114"/>
      <c r="S14" s="114">
        <f t="shared" si="2"/>
        <v>0</v>
      </c>
      <c r="T14" s="114">
        <f>660+580</f>
        <v>1240</v>
      </c>
      <c r="U14" s="114"/>
      <c r="V14" s="114">
        <f t="shared" ref="V14:V24" si="10">S14+U14</f>
        <v>0</v>
      </c>
      <c r="W14" s="114">
        <f t="shared" ref="W14:W59" si="11">V14+Q14</f>
        <v>31</v>
      </c>
      <c r="Z14" s="105"/>
      <c r="AA14" s="113"/>
      <c r="AB14" s="115">
        <f t="shared" si="3"/>
        <v>0</v>
      </c>
      <c r="AC14" s="115">
        <f>660+580</f>
        <v>1240</v>
      </c>
      <c r="AD14" s="115"/>
      <c r="AE14" s="115">
        <f t="shared" ref="AE14:AE24" si="12">AB14+AD14</f>
        <v>0</v>
      </c>
      <c r="AF14" s="115"/>
      <c r="AG14" s="115">
        <f t="shared" si="4"/>
        <v>0</v>
      </c>
      <c r="AH14" s="115">
        <f>660+580</f>
        <v>1240</v>
      </c>
      <c r="AI14" s="115"/>
      <c r="AJ14" s="115">
        <f t="shared" ref="AJ14:AJ24" si="13">AG14+AI14</f>
        <v>0</v>
      </c>
      <c r="AK14" s="115">
        <f t="shared" ref="AK14:AK24" si="14">AJ14+AE14</f>
        <v>0</v>
      </c>
      <c r="AL14" s="105"/>
      <c r="AM14" s="105">
        <v>90</v>
      </c>
      <c r="AN14" s="116">
        <f t="shared" ref="AN14:AN59" si="15">AM14/15</f>
        <v>6</v>
      </c>
      <c r="AO14" s="116"/>
      <c r="AP14" s="116"/>
      <c r="AQ14" s="116">
        <f t="shared" ref="AQ14:AQ24" si="16">AN14+AP14</f>
        <v>6</v>
      </c>
      <c r="AR14" s="105"/>
      <c r="AS14" s="116">
        <f t="shared" si="5"/>
        <v>0</v>
      </c>
      <c r="AT14" s="116"/>
      <c r="AU14" s="116"/>
      <c r="AV14" s="116">
        <f t="shared" ref="AV14:AV24" si="17">AS14+AU14</f>
        <v>0</v>
      </c>
      <c r="AW14" s="116">
        <f t="shared" ref="AW14:AW24" si="18">AV14+AQ14</f>
        <v>6</v>
      </c>
      <c r="AX14" s="105"/>
      <c r="AY14" s="105"/>
      <c r="AZ14" s="105"/>
      <c r="BA14" s="117"/>
      <c r="BB14" s="117"/>
      <c r="BC14" s="117"/>
      <c r="BD14" s="117">
        <f t="shared" si="6"/>
        <v>31</v>
      </c>
      <c r="BE14" s="117"/>
      <c r="BF14" s="105"/>
      <c r="BG14" s="117">
        <f t="shared" si="7"/>
        <v>0</v>
      </c>
      <c r="BH14" s="117"/>
      <c r="BI14" s="117"/>
      <c r="BJ14" s="117">
        <f t="shared" ref="BJ14:BJ24" si="19">BG14+BH14+BI14</f>
        <v>0</v>
      </c>
      <c r="BK14" s="117">
        <f t="shared" ref="BK14:BK59" si="20">BD14+BJ14</f>
        <v>31</v>
      </c>
      <c r="BL14" s="66" t="s">
        <v>85</v>
      </c>
      <c r="BM14" s="118">
        <f t="shared" si="8"/>
        <v>1</v>
      </c>
      <c r="BN14" s="119" t="s">
        <v>90</v>
      </c>
      <c r="BV14" s="120"/>
      <c r="BW14" s="120" t="s">
        <v>8</v>
      </c>
      <c r="BX14" s="121">
        <f>BX13*73%</f>
        <v>1669.51</v>
      </c>
      <c r="BY14" s="122"/>
    </row>
    <row r="15" spans="1:79" x14ac:dyDescent="0.2">
      <c r="B15" s="68">
        <v>3</v>
      </c>
      <c r="C15" s="59" t="s">
        <v>32</v>
      </c>
      <c r="D15" s="71">
        <v>0</v>
      </c>
      <c r="E15" s="71">
        <v>89</v>
      </c>
      <c r="F15" s="71">
        <v>89</v>
      </c>
      <c r="G15" s="111">
        <f t="shared" si="0"/>
        <v>1.878509012621892E-3</v>
      </c>
      <c r="H15" s="58">
        <f>G15*2892</f>
        <v>5.4326480645025121</v>
      </c>
      <c r="I15" s="112">
        <v>5</v>
      </c>
      <c r="J15" s="58">
        <f>G15*1670</f>
        <v>3.1371100510785599</v>
      </c>
      <c r="K15" s="112">
        <v>3</v>
      </c>
      <c r="L15" s="105"/>
      <c r="M15" s="113"/>
      <c r="N15" s="114">
        <f t="shared" si="1"/>
        <v>0</v>
      </c>
      <c r="O15" s="114"/>
      <c r="P15" s="114"/>
      <c r="Q15" s="114">
        <f t="shared" si="9"/>
        <v>0</v>
      </c>
      <c r="R15" s="114"/>
      <c r="S15" s="114">
        <f t="shared" si="2"/>
        <v>0</v>
      </c>
      <c r="T15" s="114"/>
      <c r="U15" s="114"/>
      <c r="V15" s="114">
        <f t="shared" si="10"/>
        <v>0</v>
      </c>
      <c r="W15" s="114">
        <f t="shared" si="11"/>
        <v>0</v>
      </c>
      <c r="Z15" s="105"/>
      <c r="AA15" s="113"/>
      <c r="AB15" s="115">
        <f t="shared" si="3"/>
        <v>0</v>
      </c>
      <c r="AC15" s="115"/>
      <c r="AD15" s="115"/>
      <c r="AE15" s="115">
        <f t="shared" si="12"/>
        <v>0</v>
      </c>
      <c r="AF15" s="115"/>
      <c r="AG15" s="115">
        <f t="shared" si="4"/>
        <v>0</v>
      </c>
      <c r="AH15" s="115"/>
      <c r="AI15" s="115"/>
      <c r="AJ15" s="115">
        <f t="shared" si="13"/>
        <v>0</v>
      </c>
      <c r="AK15" s="115">
        <f t="shared" si="14"/>
        <v>0</v>
      </c>
      <c r="AL15" s="105"/>
      <c r="AM15" s="105"/>
      <c r="AN15" s="116">
        <f t="shared" si="15"/>
        <v>0</v>
      </c>
      <c r="AO15" s="116"/>
      <c r="AP15" s="116"/>
      <c r="AQ15" s="116">
        <f t="shared" si="16"/>
        <v>0</v>
      </c>
      <c r="AR15" s="105"/>
      <c r="AS15" s="116">
        <f t="shared" si="5"/>
        <v>0</v>
      </c>
      <c r="AT15" s="116"/>
      <c r="AU15" s="116"/>
      <c r="AV15" s="116">
        <f t="shared" si="17"/>
        <v>0</v>
      </c>
      <c r="AW15" s="116">
        <f t="shared" si="18"/>
        <v>0</v>
      </c>
      <c r="AX15" s="105"/>
      <c r="AY15" s="105"/>
      <c r="AZ15" s="105"/>
      <c r="BA15" s="117"/>
      <c r="BB15" s="117"/>
      <c r="BC15" s="117"/>
      <c r="BD15" s="117">
        <f t="shared" si="6"/>
        <v>0</v>
      </c>
      <c r="BE15" s="117"/>
      <c r="BF15" s="105"/>
      <c r="BG15" s="117">
        <f t="shared" si="7"/>
        <v>0</v>
      </c>
      <c r="BH15" s="117"/>
      <c r="BI15" s="117"/>
      <c r="BJ15" s="117">
        <f t="shared" si="19"/>
        <v>0</v>
      </c>
      <c r="BK15" s="117">
        <f t="shared" si="20"/>
        <v>0</v>
      </c>
      <c r="BM15" s="118">
        <f t="shared" si="8"/>
        <v>-5</v>
      </c>
      <c r="BN15" s="119"/>
    </row>
    <row r="16" spans="1:79" x14ac:dyDescent="0.2">
      <c r="B16" s="68">
        <v>4</v>
      </c>
      <c r="C16" s="59" t="s">
        <v>33</v>
      </c>
      <c r="D16" s="71">
        <v>116.77293708955935</v>
      </c>
      <c r="E16" s="71">
        <v>478.72706291044062</v>
      </c>
      <c r="F16" s="71">
        <v>595.5</v>
      </c>
      <c r="G16" s="111">
        <f t="shared" si="0"/>
        <v>1.2569124910295918E-2</v>
      </c>
      <c r="H16" s="58">
        <v>0</v>
      </c>
      <c r="I16" s="112">
        <v>0</v>
      </c>
      <c r="J16" s="58">
        <v>34</v>
      </c>
      <c r="K16" s="112">
        <f>21+13</f>
        <v>34</v>
      </c>
      <c r="L16" s="105"/>
      <c r="M16" s="113">
        <v>0</v>
      </c>
      <c r="N16" s="114">
        <f t="shared" si="1"/>
        <v>0</v>
      </c>
      <c r="O16" s="114">
        <v>0</v>
      </c>
      <c r="P16" s="114"/>
      <c r="Q16" s="114">
        <f t="shared" si="9"/>
        <v>0</v>
      </c>
      <c r="R16" s="114"/>
      <c r="S16" s="114">
        <f t="shared" si="2"/>
        <v>0</v>
      </c>
      <c r="T16" s="114">
        <v>0</v>
      </c>
      <c r="U16" s="114"/>
      <c r="V16" s="114">
        <f t="shared" si="10"/>
        <v>0</v>
      </c>
      <c r="W16" s="114">
        <f t="shared" si="11"/>
        <v>0</v>
      </c>
      <c r="Z16" s="105"/>
      <c r="AA16" s="113"/>
      <c r="AB16" s="115">
        <f t="shared" si="3"/>
        <v>0</v>
      </c>
      <c r="AC16" s="115">
        <v>0</v>
      </c>
      <c r="AD16" s="115"/>
      <c r="AE16" s="115">
        <f t="shared" si="12"/>
        <v>0</v>
      </c>
      <c r="AF16" s="115"/>
      <c r="AG16" s="115">
        <f t="shared" si="4"/>
        <v>0</v>
      </c>
      <c r="AH16" s="115">
        <v>0</v>
      </c>
      <c r="AI16" s="115"/>
      <c r="AJ16" s="115">
        <f t="shared" si="13"/>
        <v>0</v>
      </c>
      <c r="AK16" s="115">
        <f t="shared" si="14"/>
        <v>0</v>
      </c>
      <c r="AL16" s="105"/>
      <c r="AM16" s="105">
        <f>390</f>
        <v>390</v>
      </c>
      <c r="AN16" s="116">
        <f t="shared" si="15"/>
        <v>26</v>
      </c>
      <c r="AO16" s="116"/>
      <c r="AP16" s="116"/>
      <c r="AQ16" s="116">
        <f t="shared" si="16"/>
        <v>26</v>
      </c>
      <c r="AR16" s="105"/>
      <c r="AS16" s="116">
        <f t="shared" si="5"/>
        <v>0</v>
      </c>
      <c r="AT16" s="116"/>
      <c r="AU16" s="116"/>
      <c r="AV16" s="116">
        <f t="shared" si="17"/>
        <v>0</v>
      </c>
      <c r="AW16" s="116">
        <f t="shared" si="18"/>
        <v>26</v>
      </c>
      <c r="AX16" s="105"/>
      <c r="AY16" s="105"/>
      <c r="AZ16" s="105"/>
      <c r="BA16" s="117"/>
      <c r="BB16" s="117"/>
      <c r="BC16" s="117"/>
      <c r="BD16" s="117">
        <f t="shared" si="6"/>
        <v>0</v>
      </c>
      <c r="BE16" s="117"/>
      <c r="BF16" s="105"/>
      <c r="BG16" s="117">
        <f t="shared" si="7"/>
        <v>0</v>
      </c>
      <c r="BH16" s="117"/>
      <c r="BI16" s="117"/>
      <c r="BJ16" s="117">
        <f t="shared" si="19"/>
        <v>0</v>
      </c>
      <c r="BK16" s="117">
        <f t="shared" si="20"/>
        <v>0</v>
      </c>
      <c r="BL16" s="66" t="s">
        <v>83</v>
      </c>
      <c r="BM16" s="118">
        <f t="shared" si="8"/>
        <v>0</v>
      </c>
      <c r="BN16" s="119" t="s">
        <v>91</v>
      </c>
    </row>
    <row r="17" spans="1:66" x14ac:dyDescent="0.2">
      <c r="B17" s="68">
        <v>5</v>
      </c>
      <c r="C17" s="59" t="s">
        <v>35</v>
      </c>
      <c r="D17" s="71">
        <v>236.83525268868374</v>
      </c>
      <c r="E17" s="71">
        <v>812.16474731131621</v>
      </c>
      <c r="F17" s="71">
        <v>1049</v>
      </c>
      <c r="G17" s="111">
        <f t="shared" si="0"/>
        <v>2.2141078137532189E-2</v>
      </c>
      <c r="H17" s="58">
        <f>G17*2892</f>
        <v>64.031997973743088</v>
      </c>
      <c r="I17" s="112">
        <v>64</v>
      </c>
      <c r="J17" s="58">
        <f>G17*1670</f>
        <v>36.975600489678754</v>
      </c>
      <c r="K17" s="112">
        <v>37</v>
      </c>
      <c r="L17" s="105"/>
      <c r="M17" s="113">
        <f>360+80+280+1120+360.1</f>
        <v>2200.1</v>
      </c>
      <c r="N17" s="114">
        <f t="shared" si="1"/>
        <v>55.002499999999998</v>
      </c>
      <c r="O17" s="114">
        <f>360+80+280+1120+360.1</f>
        <v>2200.1</v>
      </c>
      <c r="P17" s="114">
        <f>I17-N17</f>
        <v>8.9975000000000023</v>
      </c>
      <c r="Q17" s="114">
        <f t="shared" si="9"/>
        <v>64</v>
      </c>
      <c r="R17" s="114"/>
      <c r="S17" s="114">
        <f t="shared" si="2"/>
        <v>0</v>
      </c>
      <c r="T17" s="114">
        <f>360+80+280+1120+360.1</f>
        <v>2200.1</v>
      </c>
      <c r="U17" s="114"/>
      <c r="V17" s="114">
        <f t="shared" si="10"/>
        <v>0</v>
      </c>
      <c r="W17" s="114">
        <f t="shared" si="11"/>
        <v>64</v>
      </c>
      <c r="Z17" s="105"/>
      <c r="AA17" s="113"/>
      <c r="AB17" s="115">
        <f t="shared" si="3"/>
        <v>0</v>
      </c>
      <c r="AC17" s="115">
        <f>360+80+280+1120+360.1</f>
        <v>2200.1</v>
      </c>
      <c r="AD17" s="115"/>
      <c r="AE17" s="115">
        <f t="shared" si="12"/>
        <v>0</v>
      </c>
      <c r="AF17" s="115"/>
      <c r="AG17" s="115">
        <f t="shared" si="4"/>
        <v>0</v>
      </c>
      <c r="AH17" s="115">
        <f>360+80+280+1120+360.1</f>
        <v>2200.1</v>
      </c>
      <c r="AI17" s="115"/>
      <c r="AJ17" s="115">
        <f t="shared" si="13"/>
        <v>0</v>
      </c>
      <c r="AK17" s="115">
        <f t="shared" si="14"/>
        <v>0</v>
      </c>
      <c r="AL17" s="105"/>
      <c r="AM17" s="105">
        <f>89.85+24+49.5</f>
        <v>163.35</v>
      </c>
      <c r="AN17" s="116">
        <f t="shared" si="15"/>
        <v>10.889999999999999</v>
      </c>
      <c r="AO17" s="116"/>
      <c r="AP17" s="116"/>
      <c r="AQ17" s="116">
        <f t="shared" si="16"/>
        <v>10.889999999999999</v>
      </c>
      <c r="AR17" s="105"/>
      <c r="AS17" s="116">
        <f t="shared" si="5"/>
        <v>0</v>
      </c>
      <c r="AT17" s="116"/>
      <c r="AU17" s="116"/>
      <c r="AV17" s="116">
        <f t="shared" si="17"/>
        <v>0</v>
      </c>
      <c r="AW17" s="116">
        <f t="shared" si="18"/>
        <v>10.889999999999999</v>
      </c>
      <c r="AX17" s="105"/>
      <c r="AY17" s="105"/>
      <c r="AZ17" s="105"/>
      <c r="BA17" s="117"/>
      <c r="BB17" s="117"/>
      <c r="BC17" s="117">
        <v>9</v>
      </c>
      <c r="BD17" s="117">
        <f t="shared" si="6"/>
        <v>64.002499999999998</v>
      </c>
      <c r="BE17" s="117"/>
      <c r="BF17" s="105"/>
      <c r="BG17" s="117">
        <f t="shared" si="7"/>
        <v>0</v>
      </c>
      <c r="BH17" s="117"/>
      <c r="BI17" s="117"/>
      <c r="BJ17" s="117">
        <f t="shared" si="19"/>
        <v>0</v>
      </c>
      <c r="BK17" s="117">
        <f t="shared" si="20"/>
        <v>64.002499999999998</v>
      </c>
      <c r="BL17" s="66" t="s">
        <v>88</v>
      </c>
      <c r="BM17" s="118">
        <f t="shared" si="8"/>
        <v>2.4999999999977263E-3</v>
      </c>
      <c r="BN17" s="119"/>
    </row>
    <row r="18" spans="1:66" x14ac:dyDescent="0.2">
      <c r="B18" s="68">
        <v>6</v>
      </c>
      <c r="C18" s="59" t="s">
        <v>36</v>
      </c>
      <c r="D18" s="71">
        <v>106.35657180927001</v>
      </c>
      <c r="E18" s="71">
        <v>1213.64342819073</v>
      </c>
      <c r="F18" s="71">
        <v>1320</v>
      </c>
      <c r="G18" s="111">
        <f t="shared" si="0"/>
        <v>2.7861032546751655E-2</v>
      </c>
      <c r="H18" s="58">
        <f>G18*2892</f>
        <v>80.574106125205788</v>
      </c>
      <c r="I18" s="112">
        <v>80</v>
      </c>
      <c r="J18" s="58">
        <f>G18*1670</f>
        <v>46.527924353075264</v>
      </c>
      <c r="K18" s="112">
        <v>46</v>
      </c>
      <c r="L18" s="105"/>
      <c r="M18" s="113"/>
      <c r="N18" s="114">
        <f t="shared" si="1"/>
        <v>0</v>
      </c>
      <c r="O18" s="114"/>
      <c r="P18" s="114"/>
      <c r="Q18" s="114">
        <f t="shared" si="9"/>
        <v>0</v>
      </c>
      <c r="R18" s="114"/>
      <c r="S18" s="114">
        <f t="shared" si="2"/>
        <v>0</v>
      </c>
      <c r="T18" s="114"/>
      <c r="U18" s="114"/>
      <c r="V18" s="114">
        <f t="shared" si="10"/>
        <v>0</v>
      </c>
      <c r="W18" s="114">
        <f t="shared" si="11"/>
        <v>0</v>
      </c>
      <c r="Z18" s="105"/>
      <c r="AA18" s="113"/>
      <c r="AB18" s="115">
        <f t="shared" si="3"/>
        <v>0</v>
      </c>
      <c r="AC18" s="115"/>
      <c r="AD18" s="115"/>
      <c r="AE18" s="115">
        <f t="shared" si="12"/>
        <v>0</v>
      </c>
      <c r="AF18" s="115"/>
      <c r="AG18" s="115">
        <f t="shared" si="4"/>
        <v>0</v>
      </c>
      <c r="AH18" s="115"/>
      <c r="AI18" s="115"/>
      <c r="AJ18" s="115">
        <f t="shared" si="13"/>
        <v>0</v>
      </c>
      <c r="AK18" s="115">
        <f t="shared" si="14"/>
        <v>0</v>
      </c>
      <c r="AL18" s="105"/>
      <c r="AM18" s="105"/>
      <c r="AN18" s="116">
        <f t="shared" si="15"/>
        <v>0</v>
      </c>
      <c r="AO18" s="116"/>
      <c r="AP18" s="116"/>
      <c r="AQ18" s="116">
        <f t="shared" si="16"/>
        <v>0</v>
      </c>
      <c r="AR18" s="105"/>
      <c r="AS18" s="116">
        <f t="shared" si="5"/>
        <v>0</v>
      </c>
      <c r="AT18" s="116"/>
      <c r="AU18" s="116"/>
      <c r="AV18" s="116">
        <f t="shared" si="17"/>
        <v>0</v>
      </c>
      <c r="AW18" s="116">
        <f t="shared" si="18"/>
        <v>0</v>
      </c>
      <c r="AX18" s="105"/>
      <c r="AY18" s="105"/>
      <c r="AZ18" s="105"/>
      <c r="BA18" s="117"/>
      <c r="BB18" s="117"/>
      <c r="BC18" s="117"/>
      <c r="BD18" s="117">
        <f t="shared" si="6"/>
        <v>0</v>
      </c>
      <c r="BE18" s="117"/>
      <c r="BF18" s="105"/>
      <c r="BG18" s="117">
        <f t="shared" si="7"/>
        <v>0</v>
      </c>
      <c r="BH18" s="117"/>
      <c r="BI18" s="117"/>
      <c r="BJ18" s="117">
        <f t="shared" si="19"/>
        <v>0</v>
      </c>
      <c r="BK18" s="117">
        <f t="shared" si="20"/>
        <v>0</v>
      </c>
      <c r="BM18" s="118">
        <f t="shared" si="8"/>
        <v>-80</v>
      </c>
      <c r="BN18" s="119"/>
    </row>
    <row r="19" spans="1:66" x14ac:dyDescent="0.2">
      <c r="B19" s="68">
        <v>7</v>
      </c>
      <c r="C19" s="59" t="s">
        <v>37</v>
      </c>
      <c r="D19" s="71">
        <v>0</v>
      </c>
      <c r="E19" s="71">
        <v>86</v>
      </c>
      <c r="F19" s="71">
        <v>86</v>
      </c>
      <c r="G19" s="111">
        <f t="shared" si="0"/>
        <v>1.8151884841065473E-3</v>
      </c>
      <c r="H19" s="58">
        <f>G19*2892</f>
        <v>5.2495250960361348</v>
      </c>
      <c r="I19" s="112">
        <v>5</v>
      </c>
      <c r="J19" s="58">
        <f>G19*1670</f>
        <v>3.0313647684579341</v>
      </c>
      <c r="K19" s="112">
        <v>3</v>
      </c>
      <c r="L19" s="105"/>
      <c r="M19" s="113"/>
      <c r="N19" s="114">
        <f t="shared" si="1"/>
        <v>0</v>
      </c>
      <c r="O19" s="114"/>
      <c r="P19" s="114"/>
      <c r="Q19" s="114">
        <f t="shared" si="9"/>
        <v>0</v>
      </c>
      <c r="R19" s="114"/>
      <c r="S19" s="114">
        <f t="shared" si="2"/>
        <v>0</v>
      </c>
      <c r="T19" s="114"/>
      <c r="U19" s="114"/>
      <c r="V19" s="114">
        <f t="shared" si="10"/>
        <v>0</v>
      </c>
      <c r="W19" s="114">
        <f t="shared" si="11"/>
        <v>0</v>
      </c>
      <c r="Z19" s="105"/>
      <c r="AA19" s="113"/>
      <c r="AB19" s="115">
        <f t="shared" si="3"/>
        <v>0</v>
      </c>
      <c r="AC19" s="115"/>
      <c r="AD19" s="115"/>
      <c r="AE19" s="115">
        <f t="shared" si="12"/>
        <v>0</v>
      </c>
      <c r="AF19" s="115"/>
      <c r="AG19" s="115">
        <f t="shared" si="4"/>
        <v>0</v>
      </c>
      <c r="AH19" s="115"/>
      <c r="AI19" s="115"/>
      <c r="AJ19" s="115">
        <f t="shared" si="13"/>
        <v>0</v>
      </c>
      <c r="AK19" s="115">
        <f t="shared" si="14"/>
        <v>0</v>
      </c>
      <c r="AL19" s="105"/>
      <c r="AM19" s="105"/>
      <c r="AN19" s="116">
        <f t="shared" si="15"/>
        <v>0</v>
      </c>
      <c r="AO19" s="116"/>
      <c r="AP19" s="116"/>
      <c r="AQ19" s="116">
        <f t="shared" si="16"/>
        <v>0</v>
      </c>
      <c r="AR19" s="105"/>
      <c r="AS19" s="116">
        <f t="shared" si="5"/>
        <v>0</v>
      </c>
      <c r="AT19" s="116"/>
      <c r="AU19" s="116"/>
      <c r="AV19" s="116">
        <f t="shared" si="17"/>
        <v>0</v>
      </c>
      <c r="AW19" s="116">
        <f t="shared" si="18"/>
        <v>0</v>
      </c>
      <c r="AX19" s="105"/>
      <c r="AY19" s="105"/>
      <c r="AZ19" s="105"/>
      <c r="BA19" s="117"/>
      <c r="BB19" s="117"/>
      <c r="BC19" s="117"/>
      <c r="BD19" s="117">
        <f t="shared" si="6"/>
        <v>0</v>
      </c>
      <c r="BE19" s="117"/>
      <c r="BF19" s="105"/>
      <c r="BG19" s="117">
        <f t="shared" si="7"/>
        <v>0</v>
      </c>
      <c r="BH19" s="117"/>
      <c r="BI19" s="117"/>
      <c r="BJ19" s="117">
        <f t="shared" si="19"/>
        <v>0</v>
      </c>
      <c r="BK19" s="117">
        <f t="shared" si="20"/>
        <v>0</v>
      </c>
      <c r="BM19" s="118">
        <f t="shared" si="8"/>
        <v>-5</v>
      </c>
      <c r="BN19" s="119"/>
    </row>
    <row r="20" spans="1:66" x14ac:dyDescent="0.2">
      <c r="B20" s="68">
        <v>8</v>
      </c>
      <c r="C20" s="59" t="s">
        <v>38</v>
      </c>
      <c r="D20" s="71">
        <v>3.837608261159227</v>
      </c>
      <c r="E20" s="71">
        <v>109.66239173884077</v>
      </c>
      <c r="F20" s="71">
        <v>113.5</v>
      </c>
      <c r="G20" s="111">
        <f t="shared" si="0"/>
        <v>2.3956266621638737E-3</v>
      </c>
      <c r="H20" s="58">
        <f>G20*2892</f>
        <v>6.9281523069779229</v>
      </c>
      <c r="I20" s="112">
        <v>7</v>
      </c>
      <c r="J20" s="58">
        <f>G20*1670</f>
        <v>4.0006965258136695</v>
      </c>
      <c r="K20" s="112">
        <v>4</v>
      </c>
      <c r="L20" s="105"/>
      <c r="M20" s="113">
        <v>280</v>
      </c>
      <c r="N20" s="114">
        <f>M20/40</f>
        <v>7</v>
      </c>
      <c r="O20" s="114">
        <v>280</v>
      </c>
      <c r="P20" s="114"/>
      <c r="Q20" s="114">
        <f t="shared" si="9"/>
        <v>7</v>
      </c>
      <c r="R20" s="114"/>
      <c r="S20" s="114">
        <f>R20/40</f>
        <v>0</v>
      </c>
      <c r="T20" s="114">
        <v>280</v>
      </c>
      <c r="U20" s="114"/>
      <c r="V20" s="114">
        <f t="shared" si="10"/>
        <v>0</v>
      </c>
      <c r="W20" s="114">
        <f t="shared" si="11"/>
        <v>7</v>
      </c>
      <c r="X20" s="161" t="s">
        <v>88</v>
      </c>
      <c r="Z20" s="105"/>
      <c r="AA20" s="113"/>
      <c r="AB20" s="115">
        <f>AA20/40</f>
        <v>0</v>
      </c>
      <c r="AC20" s="115">
        <v>280</v>
      </c>
      <c r="AD20" s="115"/>
      <c r="AE20" s="115">
        <f t="shared" si="12"/>
        <v>0</v>
      </c>
      <c r="AF20" s="115"/>
      <c r="AG20" s="115">
        <f>AF20/40</f>
        <v>0</v>
      </c>
      <c r="AH20" s="115">
        <v>280</v>
      </c>
      <c r="AI20" s="115"/>
      <c r="AJ20" s="115">
        <f t="shared" si="13"/>
        <v>0</v>
      </c>
      <c r="AK20" s="115">
        <f t="shared" si="14"/>
        <v>0</v>
      </c>
      <c r="AL20" s="105"/>
      <c r="AM20" s="105">
        <v>60</v>
      </c>
      <c r="AN20" s="116">
        <f t="shared" si="15"/>
        <v>4</v>
      </c>
      <c r="AO20" s="116"/>
      <c r="AP20" s="116"/>
      <c r="AQ20" s="116">
        <f t="shared" si="16"/>
        <v>4</v>
      </c>
      <c r="AR20" s="105"/>
      <c r="AS20" s="116">
        <f>AR20/40</f>
        <v>0</v>
      </c>
      <c r="AT20" s="116"/>
      <c r="AU20" s="116"/>
      <c r="AV20" s="116">
        <f t="shared" si="17"/>
        <v>0</v>
      </c>
      <c r="AW20" s="116">
        <f t="shared" si="18"/>
        <v>4</v>
      </c>
      <c r="AX20" s="105"/>
      <c r="AY20" s="105"/>
      <c r="AZ20" s="105"/>
      <c r="BA20" s="117"/>
      <c r="BB20" s="117"/>
      <c r="BC20" s="117"/>
      <c r="BD20" s="117">
        <f t="shared" si="6"/>
        <v>7</v>
      </c>
      <c r="BE20" s="117"/>
      <c r="BF20" s="105"/>
      <c r="BG20" s="117">
        <f>BF20/40</f>
        <v>0</v>
      </c>
      <c r="BH20" s="117"/>
      <c r="BI20" s="117"/>
      <c r="BJ20" s="117">
        <f t="shared" si="19"/>
        <v>0</v>
      </c>
      <c r="BK20" s="117">
        <f t="shared" si="20"/>
        <v>7</v>
      </c>
      <c r="BL20" s="66" t="s">
        <v>84</v>
      </c>
      <c r="BM20" s="118">
        <f t="shared" si="8"/>
        <v>0</v>
      </c>
      <c r="BN20" s="123" t="s">
        <v>92</v>
      </c>
    </row>
    <row r="21" spans="1:66" x14ac:dyDescent="0.2">
      <c r="B21" s="68">
        <v>9</v>
      </c>
      <c r="C21" s="59" t="s">
        <v>39</v>
      </c>
      <c r="D21" s="71">
        <v>0</v>
      </c>
      <c r="E21" s="71">
        <v>373</v>
      </c>
      <c r="F21" s="71">
        <v>373</v>
      </c>
      <c r="G21" s="111">
        <f t="shared" si="0"/>
        <v>7.8728523787411873E-3</v>
      </c>
      <c r="H21" s="58">
        <v>59</v>
      </c>
      <c r="I21" s="112">
        <f>23+36</f>
        <v>59</v>
      </c>
      <c r="J21" s="58">
        <v>0</v>
      </c>
      <c r="K21" s="112">
        <v>0</v>
      </c>
      <c r="L21" s="105"/>
      <c r="M21" s="113">
        <f>160+600+200+560+240</f>
        <v>1760</v>
      </c>
      <c r="N21" s="114">
        <f t="shared" ref="N21:N59" si="21">M21/40</f>
        <v>44</v>
      </c>
      <c r="O21" s="114">
        <f>160+600+200+560+240</f>
        <v>1760</v>
      </c>
      <c r="P21" s="114">
        <f>I21-N21</f>
        <v>15</v>
      </c>
      <c r="Q21" s="114">
        <f t="shared" si="9"/>
        <v>59</v>
      </c>
      <c r="R21" s="114"/>
      <c r="S21" s="114">
        <f t="shared" ref="S21:S24" si="22">R21/40</f>
        <v>0</v>
      </c>
      <c r="T21" s="114">
        <f>160+600+200+560+240</f>
        <v>1760</v>
      </c>
      <c r="U21" s="114"/>
      <c r="V21" s="114">
        <f t="shared" si="10"/>
        <v>0</v>
      </c>
      <c r="W21" s="114">
        <f t="shared" si="11"/>
        <v>59</v>
      </c>
      <c r="X21" s="161" t="s">
        <v>122</v>
      </c>
      <c r="Z21" s="105"/>
      <c r="AA21" s="113"/>
      <c r="AB21" s="115">
        <f t="shared" ref="AB21:AB24" si="23">AA21/40</f>
        <v>0</v>
      </c>
      <c r="AC21" s="115">
        <f>160+600+200+560+240</f>
        <v>1760</v>
      </c>
      <c r="AD21" s="115"/>
      <c r="AE21" s="115">
        <f t="shared" si="12"/>
        <v>0</v>
      </c>
      <c r="AF21" s="115"/>
      <c r="AG21" s="115">
        <f t="shared" ref="AG21:AG24" si="24">AF21/40</f>
        <v>0</v>
      </c>
      <c r="AH21" s="115">
        <f>160+600+200+560+240</f>
        <v>1760</v>
      </c>
      <c r="AI21" s="115"/>
      <c r="AJ21" s="115">
        <f t="shared" si="13"/>
        <v>0</v>
      </c>
      <c r="AK21" s="115">
        <f t="shared" si="14"/>
        <v>0</v>
      </c>
      <c r="AL21" s="105"/>
      <c r="AM21" s="105">
        <v>0</v>
      </c>
      <c r="AN21" s="116">
        <f t="shared" si="15"/>
        <v>0</v>
      </c>
      <c r="AO21" s="116"/>
      <c r="AP21" s="116"/>
      <c r="AQ21" s="116">
        <f t="shared" si="16"/>
        <v>0</v>
      </c>
      <c r="AR21" s="105"/>
      <c r="AS21" s="116">
        <f t="shared" ref="AS21:AS24" si="25">AR21/40</f>
        <v>0</v>
      </c>
      <c r="AT21" s="116"/>
      <c r="AU21" s="116"/>
      <c r="AV21" s="116">
        <f t="shared" si="17"/>
        <v>0</v>
      </c>
      <c r="AW21" s="116">
        <f t="shared" si="18"/>
        <v>0</v>
      </c>
      <c r="AX21" s="105"/>
      <c r="AY21" s="105"/>
      <c r="AZ21" s="105"/>
      <c r="BA21" s="117"/>
      <c r="BB21" s="117"/>
      <c r="BC21" s="117">
        <v>15</v>
      </c>
      <c r="BD21" s="117">
        <f t="shared" si="6"/>
        <v>59</v>
      </c>
      <c r="BE21" s="117"/>
      <c r="BF21" s="105"/>
      <c r="BG21" s="117">
        <f t="shared" ref="BG21:BG24" si="26">BF21/40</f>
        <v>0</v>
      </c>
      <c r="BH21" s="117"/>
      <c r="BI21" s="117"/>
      <c r="BJ21" s="117">
        <f t="shared" si="19"/>
        <v>0</v>
      </c>
      <c r="BK21" s="117">
        <f t="shared" si="20"/>
        <v>59</v>
      </c>
      <c r="BL21" s="66" t="s">
        <v>85</v>
      </c>
      <c r="BM21" s="118">
        <f t="shared" si="8"/>
        <v>0</v>
      </c>
      <c r="BN21" s="119" t="s">
        <v>113</v>
      </c>
    </row>
    <row r="22" spans="1:66" x14ac:dyDescent="0.2">
      <c r="B22" s="68">
        <v>10</v>
      </c>
      <c r="C22" s="59" t="s">
        <v>41</v>
      </c>
      <c r="D22" s="71">
        <v>138.70212715332636</v>
      </c>
      <c r="E22" s="71">
        <v>47.797872846673641</v>
      </c>
      <c r="F22" s="71">
        <v>186.5</v>
      </c>
      <c r="G22" s="111">
        <f t="shared" si="0"/>
        <v>3.9364261893705937E-3</v>
      </c>
      <c r="H22" s="58">
        <f>G22*2892</f>
        <v>11.384144539659756</v>
      </c>
      <c r="I22" s="112">
        <v>11</v>
      </c>
      <c r="J22" s="58">
        <f>G22*1670</f>
        <v>6.5738317362488914</v>
      </c>
      <c r="K22" s="112">
        <v>7</v>
      </c>
      <c r="L22" s="105"/>
      <c r="M22" s="113"/>
      <c r="N22" s="114">
        <f t="shared" si="21"/>
        <v>0</v>
      </c>
      <c r="O22" s="114"/>
      <c r="P22" s="114"/>
      <c r="Q22" s="114">
        <f t="shared" si="9"/>
        <v>0</v>
      </c>
      <c r="R22" s="114"/>
      <c r="S22" s="114">
        <f t="shared" si="22"/>
        <v>0</v>
      </c>
      <c r="T22" s="114"/>
      <c r="U22" s="114"/>
      <c r="V22" s="114">
        <f t="shared" si="10"/>
        <v>0</v>
      </c>
      <c r="W22" s="114">
        <f t="shared" si="11"/>
        <v>0</v>
      </c>
      <c r="Z22" s="105"/>
      <c r="AA22" s="113"/>
      <c r="AB22" s="115">
        <f t="shared" si="23"/>
        <v>0</v>
      </c>
      <c r="AC22" s="115"/>
      <c r="AD22" s="115"/>
      <c r="AE22" s="115">
        <f t="shared" si="12"/>
        <v>0</v>
      </c>
      <c r="AF22" s="115"/>
      <c r="AG22" s="115">
        <f t="shared" si="24"/>
        <v>0</v>
      </c>
      <c r="AH22" s="115"/>
      <c r="AI22" s="115"/>
      <c r="AJ22" s="115">
        <f t="shared" si="13"/>
        <v>0</v>
      </c>
      <c r="AK22" s="115">
        <f t="shared" si="14"/>
        <v>0</v>
      </c>
      <c r="AL22" s="105"/>
      <c r="AM22" s="105"/>
      <c r="AN22" s="116">
        <f t="shared" si="15"/>
        <v>0</v>
      </c>
      <c r="AO22" s="116"/>
      <c r="AP22" s="116"/>
      <c r="AQ22" s="116">
        <f t="shared" si="16"/>
        <v>0</v>
      </c>
      <c r="AR22" s="105"/>
      <c r="AS22" s="116">
        <f t="shared" si="25"/>
        <v>0</v>
      </c>
      <c r="AT22" s="116"/>
      <c r="AU22" s="116"/>
      <c r="AV22" s="116">
        <f t="shared" si="17"/>
        <v>0</v>
      </c>
      <c r="AW22" s="116">
        <f t="shared" si="18"/>
        <v>0</v>
      </c>
      <c r="AX22" s="105"/>
      <c r="AY22" s="105"/>
      <c r="AZ22" s="105"/>
      <c r="BA22" s="117"/>
      <c r="BB22" s="117"/>
      <c r="BC22" s="117"/>
      <c r="BD22" s="117">
        <f t="shared" si="6"/>
        <v>0</v>
      </c>
      <c r="BE22" s="117"/>
      <c r="BF22" s="105"/>
      <c r="BG22" s="117">
        <f t="shared" si="26"/>
        <v>0</v>
      </c>
      <c r="BH22" s="117"/>
      <c r="BI22" s="117"/>
      <c r="BJ22" s="117">
        <f t="shared" si="19"/>
        <v>0</v>
      </c>
      <c r="BK22" s="117">
        <f t="shared" si="20"/>
        <v>0</v>
      </c>
      <c r="BM22" s="118">
        <f t="shared" si="8"/>
        <v>-11</v>
      </c>
      <c r="BN22" s="119"/>
    </row>
    <row r="23" spans="1:66" x14ac:dyDescent="0.2">
      <c r="B23" s="68">
        <v>11</v>
      </c>
      <c r="C23" s="59" t="s">
        <v>42</v>
      </c>
      <c r="D23" s="71">
        <v>0</v>
      </c>
      <c r="E23" s="71">
        <v>247</v>
      </c>
      <c r="F23" s="71">
        <v>247</v>
      </c>
      <c r="G23" s="111">
        <f t="shared" si="0"/>
        <v>5.2133901810967114E-3</v>
      </c>
      <c r="H23" s="58">
        <f>G23*2892</f>
        <v>15.077124403731689</v>
      </c>
      <c r="I23" s="112">
        <v>15</v>
      </c>
      <c r="J23" s="58">
        <f>G23*1670</f>
        <v>8.7063616024315085</v>
      </c>
      <c r="K23" s="112">
        <v>9</v>
      </c>
      <c r="L23" s="105"/>
      <c r="M23" s="113">
        <f>120+100+130+240</f>
        <v>590</v>
      </c>
      <c r="N23" s="114">
        <f t="shared" si="21"/>
        <v>14.75</v>
      </c>
      <c r="O23" s="114">
        <f>120+100+130+240</f>
        <v>590</v>
      </c>
      <c r="P23" s="114"/>
      <c r="Q23" s="114">
        <f t="shared" si="9"/>
        <v>14.75</v>
      </c>
      <c r="R23" s="114"/>
      <c r="S23" s="114">
        <f t="shared" si="22"/>
        <v>0</v>
      </c>
      <c r="T23" s="114">
        <f>120+100+130+240</f>
        <v>590</v>
      </c>
      <c r="U23" s="114"/>
      <c r="V23" s="114">
        <f t="shared" si="10"/>
        <v>0</v>
      </c>
      <c r="W23" s="114">
        <f t="shared" si="11"/>
        <v>14.75</v>
      </c>
      <c r="Z23" s="105"/>
      <c r="AA23" s="113"/>
      <c r="AB23" s="115">
        <f t="shared" si="23"/>
        <v>0</v>
      </c>
      <c r="AC23" s="115">
        <f>120+100+130+240</f>
        <v>590</v>
      </c>
      <c r="AD23" s="115"/>
      <c r="AE23" s="115">
        <f t="shared" si="12"/>
        <v>0</v>
      </c>
      <c r="AF23" s="115"/>
      <c r="AG23" s="115">
        <f t="shared" si="24"/>
        <v>0</v>
      </c>
      <c r="AH23" s="115">
        <f>120+100+130+240</f>
        <v>590</v>
      </c>
      <c r="AI23" s="115"/>
      <c r="AJ23" s="115">
        <f t="shared" si="13"/>
        <v>0</v>
      </c>
      <c r="AK23" s="115">
        <f t="shared" si="14"/>
        <v>0</v>
      </c>
      <c r="AL23" s="105"/>
      <c r="AM23" s="105">
        <v>135</v>
      </c>
      <c r="AN23" s="116">
        <f t="shared" si="15"/>
        <v>9</v>
      </c>
      <c r="AO23" s="116"/>
      <c r="AP23" s="116"/>
      <c r="AQ23" s="116">
        <f t="shared" si="16"/>
        <v>9</v>
      </c>
      <c r="AR23" s="105"/>
      <c r="AS23" s="116">
        <f t="shared" si="25"/>
        <v>0</v>
      </c>
      <c r="AT23" s="116"/>
      <c r="AU23" s="116"/>
      <c r="AV23" s="116">
        <f t="shared" si="17"/>
        <v>0</v>
      </c>
      <c r="AW23" s="116">
        <f t="shared" si="18"/>
        <v>9</v>
      </c>
      <c r="AX23" s="105"/>
      <c r="AY23" s="105"/>
      <c r="AZ23" s="105"/>
      <c r="BA23" s="117"/>
      <c r="BB23" s="117"/>
      <c r="BC23" s="117"/>
      <c r="BD23" s="117">
        <f t="shared" si="6"/>
        <v>14.75</v>
      </c>
      <c r="BE23" s="117"/>
      <c r="BF23" s="105"/>
      <c r="BG23" s="117">
        <f t="shared" si="26"/>
        <v>0</v>
      </c>
      <c r="BH23" s="117"/>
      <c r="BI23" s="117"/>
      <c r="BJ23" s="117">
        <f t="shared" si="19"/>
        <v>0</v>
      </c>
      <c r="BK23" s="117">
        <f t="shared" si="20"/>
        <v>14.75</v>
      </c>
      <c r="BL23" s="66" t="s">
        <v>85</v>
      </c>
      <c r="BM23" s="118">
        <f t="shared" si="8"/>
        <v>-0.25</v>
      </c>
      <c r="BN23" s="119" t="s">
        <v>100</v>
      </c>
    </row>
    <row r="24" spans="1:66" x14ac:dyDescent="0.2">
      <c r="B24" s="68">
        <v>12</v>
      </c>
      <c r="C24" s="59" t="s">
        <v>43</v>
      </c>
      <c r="D24" s="71">
        <v>455.57892357475964</v>
      </c>
      <c r="E24" s="71">
        <v>237.92107642524036</v>
      </c>
      <c r="F24" s="71">
        <v>693.5</v>
      </c>
      <c r="G24" s="111">
        <f t="shared" si="0"/>
        <v>1.4637595508463844E-2</v>
      </c>
      <c r="H24" s="58">
        <f>G24*2892</f>
        <v>42.331926210477434</v>
      </c>
      <c r="I24" s="112">
        <v>42</v>
      </c>
      <c r="J24" s="58">
        <f>G24*1670</f>
        <v>24.44478449913462</v>
      </c>
      <c r="K24" s="112">
        <v>24</v>
      </c>
      <c r="L24" s="105"/>
      <c r="M24" s="113">
        <f>200+600+280+600+200</f>
        <v>1880</v>
      </c>
      <c r="N24" s="114">
        <f t="shared" si="21"/>
        <v>47</v>
      </c>
      <c r="O24" s="114">
        <f>200+600+280+600+200</f>
        <v>1880</v>
      </c>
      <c r="P24" s="114"/>
      <c r="Q24" s="114">
        <f t="shared" si="9"/>
        <v>47</v>
      </c>
      <c r="R24" s="114"/>
      <c r="S24" s="114">
        <f t="shared" si="22"/>
        <v>0</v>
      </c>
      <c r="T24" s="114">
        <f>200+600+280+600+200</f>
        <v>1880</v>
      </c>
      <c r="U24" s="114"/>
      <c r="V24" s="114">
        <f t="shared" si="10"/>
        <v>0</v>
      </c>
      <c r="W24" s="114">
        <f t="shared" si="11"/>
        <v>47</v>
      </c>
      <c r="Z24" s="105"/>
      <c r="AA24" s="113"/>
      <c r="AB24" s="115">
        <f t="shared" si="23"/>
        <v>0</v>
      </c>
      <c r="AC24" s="115">
        <f>200+600+280+600+200</f>
        <v>1880</v>
      </c>
      <c r="AD24" s="115"/>
      <c r="AE24" s="115">
        <f t="shared" si="12"/>
        <v>0</v>
      </c>
      <c r="AF24" s="115"/>
      <c r="AG24" s="115">
        <f t="shared" si="24"/>
        <v>0</v>
      </c>
      <c r="AH24" s="115">
        <f>200+600+280+600+200</f>
        <v>1880</v>
      </c>
      <c r="AI24" s="115"/>
      <c r="AJ24" s="115">
        <f t="shared" si="13"/>
        <v>0</v>
      </c>
      <c r="AK24" s="115">
        <f t="shared" si="14"/>
        <v>0</v>
      </c>
      <c r="AL24" s="105"/>
      <c r="AM24" s="105">
        <f>54+150+75+96</f>
        <v>375</v>
      </c>
      <c r="AN24" s="116">
        <f t="shared" si="15"/>
        <v>25</v>
      </c>
      <c r="AO24" s="116"/>
      <c r="AP24" s="116"/>
      <c r="AQ24" s="116">
        <f t="shared" si="16"/>
        <v>25</v>
      </c>
      <c r="AR24" s="105"/>
      <c r="AS24" s="116">
        <f t="shared" si="25"/>
        <v>0</v>
      </c>
      <c r="AT24" s="116"/>
      <c r="AU24" s="116"/>
      <c r="AV24" s="116">
        <f t="shared" si="17"/>
        <v>0</v>
      </c>
      <c r="AW24" s="116">
        <f t="shared" si="18"/>
        <v>25</v>
      </c>
      <c r="AX24" s="105"/>
      <c r="AY24" s="105"/>
      <c r="AZ24" s="105"/>
      <c r="BA24" s="117"/>
      <c r="BB24" s="117"/>
      <c r="BC24" s="117"/>
      <c r="BD24" s="117">
        <f t="shared" si="6"/>
        <v>47</v>
      </c>
      <c r="BE24" s="117"/>
      <c r="BF24" s="105"/>
      <c r="BG24" s="117">
        <f t="shared" si="26"/>
        <v>0</v>
      </c>
      <c r="BH24" s="117"/>
      <c r="BI24" s="117"/>
      <c r="BJ24" s="117">
        <f t="shared" si="19"/>
        <v>0</v>
      </c>
      <c r="BK24" s="117">
        <f t="shared" si="20"/>
        <v>47</v>
      </c>
      <c r="BL24" s="66" t="s">
        <v>85</v>
      </c>
      <c r="BM24" s="118">
        <f t="shared" si="8"/>
        <v>5</v>
      </c>
      <c r="BN24" s="119" t="s">
        <v>101</v>
      </c>
    </row>
    <row r="25" spans="1:66" s="124" customFormat="1" ht="15.75" x14ac:dyDescent="0.25">
      <c r="A25" s="99" t="s">
        <v>44</v>
      </c>
      <c r="C25" s="124">
        <v>14</v>
      </c>
      <c r="D25" s="125">
        <v>10693.111658894071</v>
      </c>
      <c r="E25" s="125">
        <v>12058.398341105929</v>
      </c>
      <c r="F25" s="125">
        <v>22751.510000000002</v>
      </c>
      <c r="G25" s="126"/>
      <c r="H25" s="104"/>
      <c r="I25" s="104">
        <f>SUM(I26:I39)</f>
        <v>1386</v>
      </c>
      <c r="J25" s="127"/>
      <c r="K25" s="104">
        <f>SUM(K26:K39)</f>
        <v>801</v>
      </c>
      <c r="L25" s="105"/>
      <c r="M25" s="104"/>
      <c r="N25" s="104">
        <f>SUM(N26:N39)</f>
        <v>237.32499999999999</v>
      </c>
      <c r="O25" s="104"/>
      <c r="P25" s="104">
        <f>SUM(P26:P39)</f>
        <v>70</v>
      </c>
      <c r="Q25" s="104">
        <f>SUM(Q26:Q39)</f>
        <v>307.32499999999999</v>
      </c>
      <c r="R25" s="104"/>
      <c r="S25" s="104">
        <f>SUM(S26:S39)</f>
        <v>0</v>
      </c>
      <c r="T25" s="104"/>
      <c r="U25" s="104">
        <f>SUM(U26:U39)</f>
        <v>620</v>
      </c>
      <c r="V25" s="104">
        <f>SUM(V26:V39)</f>
        <v>620</v>
      </c>
      <c r="W25" s="104">
        <f>SUM(W26:W39)</f>
        <v>927.32499999999993</v>
      </c>
      <c r="X25" s="161"/>
      <c r="Y25" s="161"/>
      <c r="Z25" s="104"/>
      <c r="AA25" s="104"/>
      <c r="AB25" s="104">
        <f>SUM(AB26:AB39)</f>
        <v>197</v>
      </c>
      <c r="AC25" s="104"/>
      <c r="AD25" s="104">
        <f>SUM(AD26:AD39)</f>
        <v>171</v>
      </c>
      <c r="AE25" s="104">
        <f>SUM(AE26:AE39)</f>
        <v>368</v>
      </c>
      <c r="AF25" s="104"/>
      <c r="AG25" s="104">
        <f>SUM(AG26:AG39)</f>
        <v>0</v>
      </c>
      <c r="AH25" s="104"/>
      <c r="AI25" s="104">
        <f>SUM(AI26:AI39)</f>
        <v>288</v>
      </c>
      <c r="AJ25" s="104">
        <f>SUM(AJ26:AJ39)</f>
        <v>288</v>
      </c>
      <c r="AK25" s="104">
        <f>SUM(AK26:AK39)</f>
        <v>656</v>
      </c>
      <c r="AL25" s="104"/>
      <c r="AM25" s="104"/>
      <c r="AN25" s="104">
        <f>SUM(AN26:AN39)</f>
        <v>152.19999999999999</v>
      </c>
      <c r="AO25" s="104"/>
      <c r="AP25" s="104">
        <f>SUM(AP26:AP39)</f>
        <v>0</v>
      </c>
      <c r="AQ25" s="104">
        <f>SUM(AQ26:AQ39)</f>
        <v>152.19999999999999</v>
      </c>
      <c r="AR25" s="104"/>
      <c r="AS25" s="104">
        <f>SUM(AS26:AS39)</f>
        <v>0</v>
      </c>
      <c r="AT25" s="104"/>
      <c r="AU25" s="104">
        <f>SUM(AU26:AU39)</f>
        <v>0</v>
      </c>
      <c r="AV25" s="104">
        <f>SUM(AV26:AV39)</f>
        <v>0</v>
      </c>
      <c r="AW25" s="104">
        <f>SUM(AW26:AW39)</f>
        <v>152.19999999999999</v>
      </c>
      <c r="AX25" s="105"/>
      <c r="AY25" s="105"/>
      <c r="AZ25" s="104"/>
      <c r="BA25" s="104"/>
      <c r="BB25" s="104">
        <f>SUM(BB26:BB39)</f>
        <v>600</v>
      </c>
      <c r="BC25" s="104">
        <f>SUM(BC26:BC39)</f>
        <v>0</v>
      </c>
      <c r="BD25" s="104">
        <f>SUM(BD26:BD39)</f>
        <v>837.32499999999993</v>
      </c>
      <c r="BE25" s="104"/>
      <c r="BF25" s="104"/>
      <c r="BG25" s="104">
        <f>SUM(BG26:BG39)</f>
        <v>197</v>
      </c>
      <c r="BH25" s="104">
        <f>SUM(BH26:BH39)</f>
        <v>0</v>
      </c>
      <c r="BI25" s="104">
        <f>SUM(BI26:BI39)</f>
        <v>171</v>
      </c>
      <c r="BJ25" s="104">
        <f>SUM(BJ26:BJ39)</f>
        <v>368</v>
      </c>
      <c r="BK25" s="104">
        <f>SUM(BK26:BK39)</f>
        <v>1205.3249999999998</v>
      </c>
      <c r="BL25" s="106"/>
      <c r="BM25" s="104">
        <f>SUM(BM26:BM39)</f>
        <v>-548.67499999999995</v>
      </c>
      <c r="BN25" s="104"/>
    </row>
    <row r="26" spans="1:66" x14ac:dyDescent="0.2">
      <c r="B26" s="68">
        <v>1</v>
      </c>
      <c r="C26" s="59" t="s">
        <v>45</v>
      </c>
      <c r="D26" s="71">
        <v>10.964595031883507</v>
      </c>
      <c r="E26" s="71">
        <v>885.45540496811645</v>
      </c>
      <c r="F26" s="71">
        <v>896.42</v>
      </c>
      <c r="G26" s="111">
        <f t="shared" ref="G26:G39" si="27">F26/47378</f>
        <v>1.8920596057241758E-2</v>
      </c>
      <c r="H26" s="58">
        <f t="shared" ref="H26:H39" si="28">G26*2892</f>
        <v>54.718363797543162</v>
      </c>
      <c r="I26" s="112">
        <v>55</v>
      </c>
      <c r="J26" s="58">
        <f t="shared" ref="J26:J39" si="29">G26*1670</f>
        <v>31.597395415593734</v>
      </c>
      <c r="K26" s="112">
        <v>32</v>
      </c>
      <c r="L26" s="105"/>
      <c r="M26" s="113">
        <v>1080</v>
      </c>
      <c r="N26" s="114">
        <f t="shared" si="21"/>
        <v>27</v>
      </c>
      <c r="O26" s="114">
        <v>1080</v>
      </c>
      <c r="P26" s="114"/>
      <c r="Q26" s="114">
        <f t="shared" si="9"/>
        <v>27</v>
      </c>
      <c r="R26" s="114"/>
      <c r="S26" s="114">
        <f t="shared" ref="S26:S39" si="30">R26/40</f>
        <v>0</v>
      </c>
      <c r="T26" s="114">
        <v>1080</v>
      </c>
      <c r="U26" s="114"/>
      <c r="V26" s="114">
        <f t="shared" ref="V26:V39" si="31">S26+U26</f>
        <v>0</v>
      </c>
      <c r="W26" s="114">
        <f t="shared" si="11"/>
        <v>27</v>
      </c>
      <c r="Z26" s="105"/>
      <c r="AA26" s="113"/>
      <c r="AB26" s="115">
        <f t="shared" ref="AB26:AB39" si="32">AA26/40</f>
        <v>0</v>
      </c>
      <c r="AC26" s="115">
        <v>1080</v>
      </c>
      <c r="AD26" s="115"/>
      <c r="AE26" s="115">
        <f t="shared" ref="AE26:AE39" si="33">AB26+AD26</f>
        <v>0</v>
      </c>
      <c r="AF26" s="115"/>
      <c r="AG26" s="115">
        <f t="shared" ref="AG26:AG39" si="34">AF26/40</f>
        <v>0</v>
      </c>
      <c r="AH26" s="115">
        <v>1080</v>
      </c>
      <c r="AI26" s="115"/>
      <c r="AJ26" s="115">
        <f t="shared" ref="AJ26:AJ39" si="35">AG26+AI26</f>
        <v>0</v>
      </c>
      <c r="AK26" s="115">
        <f t="shared" ref="AK26:AK39" si="36">AJ26+AE26</f>
        <v>0</v>
      </c>
      <c r="AL26" s="105"/>
      <c r="AM26" s="105">
        <f>255</f>
        <v>255</v>
      </c>
      <c r="AN26" s="116">
        <f t="shared" si="15"/>
        <v>17</v>
      </c>
      <c r="AO26" s="116"/>
      <c r="AP26" s="116"/>
      <c r="AQ26" s="116">
        <f t="shared" ref="AQ26:AQ39" si="37">AN26+AP26</f>
        <v>17</v>
      </c>
      <c r="AR26" s="105"/>
      <c r="AS26" s="116">
        <f t="shared" ref="AS26:AS39" si="38">AR26/40</f>
        <v>0</v>
      </c>
      <c r="AT26" s="116"/>
      <c r="AU26" s="116"/>
      <c r="AV26" s="116">
        <f t="shared" ref="AV26:AV39" si="39">AS26+AU26</f>
        <v>0</v>
      </c>
      <c r="AW26" s="116">
        <f t="shared" ref="AW26:AW39" si="40">AV26+AQ26</f>
        <v>17</v>
      </c>
      <c r="AX26" s="105"/>
      <c r="AY26" s="105"/>
      <c r="AZ26" s="105"/>
      <c r="BA26" s="117"/>
      <c r="BB26" s="117"/>
      <c r="BC26" s="117"/>
      <c r="BD26" s="117">
        <f t="shared" ref="BD26:BD39" si="41">N26+BB26+BC26</f>
        <v>27</v>
      </c>
      <c r="BE26" s="117"/>
      <c r="BF26" s="105"/>
      <c r="BG26" s="117">
        <f t="shared" ref="BG26:BG39" si="42">BF26/40</f>
        <v>0</v>
      </c>
      <c r="BH26" s="117"/>
      <c r="BI26" s="117"/>
      <c r="BJ26" s="117">
        <f t="shared" ref="BJ26:BJ28" si="43">BG26+BH26+BI26</f>
        <v>0</v>
      </c>
      <c r="BK26" s="117">
        <f t="shared" si="20"/>
        <v>27</v>
      </c>
      <c r="BL26" s="66" t="s">
        <v>88</v>
      </c>
      <c r="BM26" s="118">
        <f t="shared" ref="BM26:BM39" si="44">BD26-I26</f>
        <v>-28</v>
      </c>
      <c r="BN26" s="119" t="s">
        <v>104</v>
      </c>
    </row>
    <row r="27" spans="1:66" x14ac:dyDescent="0.2">
      <c r="B27" s="68">
        <v>2</v>
      </c>
      <c r="C27" s="59" t="s">
        <v>46</v>
      </c>
      <c r="D27" s="71">
        <v>32.893785095650514</v>
      </c>
      <c r="E27" s="71">
        <v>691.75621490434946</v>
      </c>
      <c r="F27" s="71">
        <v>724.65</v>
      </c>
      <c r="G27" s="111">
        <f t="shared" si="27"/>
        <v>1.5295073662881506E-2</v>
      </c>
      <c r="H27" s="58">
        <f t="shared" si="28"/>
        <v>44.233353033053312</v>
      </c>
      <c r="I27" s="112">
        <v>44</v>
      </c>
      <c r="J27" s="58">
        <f t="shared" si="29"/>
        <v>25.542773017012117</v>
      </c>
      <c r="K27" s="112">
        <v>26</v>
      </c>
      <c r="L27" s="105"/>
      <c r="M27" s="113"/>
      <c r="N27" s="114">
        <f t="shared" si="21"/>
        <v>0</v>
      </c>
      <c r="O27" s="114"/>
      <c r="P27" s="114"/>
      <c r="Q27" s="114">
        <f t="shared" si="9"/>
        <v>0</v>
      </c>
      <c r="R27" s="114"/>
      <c r="S27" s="114">
        <f t="shared" si="30"/>
        <v>0</v>
      </c>
      <c r="T27" s="114"/>
      <c r="U27" s="114"/>
      <c r="V27" s="114">
        <f t="shared" si="31"/>
        <v>0</v>
      </c>
      <c r="W27" s="114">
        <f t="shared" si="11"/>
        <v>0</v>
      </c>
      <c r="Z27" s="105"/>
      <c r="AA27" s="113"/>
      <c r="AB27" s="115">
        <f t="shared" si="32"/>
        <v>0</v>
      </c>
      <c r="AC27" s="115"/>
      <c r="AD27" s="115"/>
      <c r="AE27" s="115">
        <f t="shared" si="33"/>
        <v>0</v>
      </c>
      <c r="AF27" s="115"/>
      <c r="AG27" s="115">
        <f t="shared" si="34"/>
        <v>0</v>
      </c>
      <c r="AH27" s="115"/>
      <c r="AI27" s="115"/>
      <c r="AJ27" s="115">
        <f t="shared" si="35"/>
        <v>0</v>
      </c>
      <c r="AK27" s="115">
        <f t="shared" si="36"/>
        <v>0</v>
      </c>
      <c r="AL27" s="105"/>
      <c r="AM27" s="105"/>
      <c r="AN27" s="116">
        <f t="shared" si="15"/>
        <v>0</v>
      </c>
      <c r="AO27" s="116"/>
      <c r="AP27" s="116"/>
      <c r="AQ27" s="116">
        <f t="shared" si="37"/>
        <v>0</v>
      </c>
      <c r="AR27" s="105"/>
      <c r="AS27" s="116">
        <f t="shared" si="38"/>
        <v>0</v>
      </c>
      <c r="AT27" s="116"/>
      <c r="AU27" s="116"/>
      <c r="AV27" s="116">
        <f t="shared" si="39"/>
        <v>0</v>
      </c>
      <c r="AW27" s="116">
        <f t="shared" si="40"/>
        <v>0</v>
      </c>
      <c r="AX27" s="105"/>
      <c r="AY27" s="105"/>
      <c r="AZ27" s="105"/>
      <c r="BA27" s="117"/>
      <c r="BB27" s="117"/>
      <c r="BC27" s="117"/>
      <c r="BD27" s="117">
        <f t="shared" si="41"/>
        <v>0</v>
      </c>
      <c r="BE27" s="117"/>
      <c r="BF27" s="105"/>
      <c r="BG27" s="117">
        <f t="shared" si="42"/>
        <v>0</v>
      </c>
      <c r="BH27" s="117"/>
      <c r="BI27" s="117"/>
      <c r="BJ27" s="117">
        <f t="shared" si="43"/>
        <v>0</v>
      </c>
      <c r="BK27" s="117">
        <f t="shared" si="20"/>
        <v>0</v>
      </c>
      <c r="BM27" s="118">
        <f t="shared" si="44"/>
        <v>-44</v>
      </c>
      <c r="BN27" s="119"/>
    </row>
    <row r="28" spans="1:66" x14ac:dyDescent="0.2">
      <c r="B28" s="68">
        <v>3</v>
      </c>
      <c r="C28" s="59" t="s">
        <v>47</v>
      </c>
      <c r="D28" s="71">
        <v>197.03377272294659</v>
      </c>
      <c r="E28" s="71">
        <v>127.45622727705342</v>
      </c>
      <c r="F28" s="71">
        <v>324.49</v>
      </c>
      <c r="G28" s="111">
        <f t="shared" si="27"/>
        <v>6.8489594326480649E-3</v>
      </c>
      <c r="H28" s="58">
        <f t="shared" si="28"/>
        <v>19.807190679218202</v>
      </c>
      <c r="I28" s="112">
        <v>20</v>
      </c>
      <c r="J28" s="58">
        <f t="shared" si="29"/>
        <v>11.437762252522269</v>
      </c>
      <c r="K28" s="112">
        <v>11</v>
      </c>
      <c r="L28" s="105"/>
      <c r="M28" s="113">
        <v>800</v>
      </c>
      <c r="N28" s="114">
        <f t="shared" si="21"/>
        <v>20</v>
      </c>
      <c r="O28" s="114"/>
      <c r="P28" s="114"/>
      <c r="Q28" s="114">
        <f t="shared" si="9"/>
        <v>20</v>
      </c>
      <c r="R28" s="114"/>
      <c r="S28" s="114">
        <f t="shared" si="30"/>
        <v>0</v>
      </c>
      <c r="T28" s="114"/>
      <c r="U28" s="114"/>
      <c r="V28" s="114">
        <f t="shared" si="31"/>
        <v>0</v>
      </c>
      <c r="W28" s="114">
        <f t="shared" si="11"/>
        <v>20</v>
      </c>
      <c r="X28" s="161" t="s">
        <v>122</v>
      </c>
      <c r="Z28" s="105"/>
      <c r="AA28" s="113"/>
      <c r="AB28" s="115">
        <f t="shared" si="32"/>
        <v>0</v>
      </c>
      <c r="AC28" s="115"/>
      <c r="AD28" s="115"/>
      <c r="AE28" s="115">
        <f t="shared" si="33"/>
        <v>0</v>
      </c>
      <c r="AF28" s="115"/>
      <c r="AG28" s="115">
        <f t="shared" si="34"/>
        <v>0</v>
      </c>
      <c r="AH28" s="115"/>
      <c r="AI28" s="115"/>
      <c r="AJ28" s="115">
        <f t="shared" si="35"/>
        <v>0</v>
      </c>
      <c r="AK28" s="115">
        <f t="shared" si="36"/>
        <v>0</v>
      </c>
      <c r="AL28" s="105"/>
      <c r="AM28" s="105">
        <v>165</v>
      </c>
      <c r="AN28" s="116">
        <f t="shared" si="15"/>
        <v>11</v>
      </c>
      <c r="AO28" s="116"/>
      <c r="AP28" s="116"/>
      <c r="AQ28" s="116">
        <f t="shared" si="37"/>
        <v>11</v>
      </c>
      <c r="AR28" s="105"/>
      <c r="AS28" s="116">
        <f t="shared" si="38"/>
        <v>0</v>
      </c>
      <c r="AT28" s="116"/>
      <c r="AU28" s="116"/>
      <c r="AV28" s="116">
        <f t="shared" si="39"/>
        <v>0</v>
      </c>
      <c r="AW28" s="116">
        <f t="shared" si="40"/>
        <v>11</v>
      </c>
      <c r="AX28" s="105"/>
      <c r="AY28" s="105"/>
      <c r="AZ28" s="105"/>
      <c r="BA28" s="117"/>
      <c r="BB28" s="117"/>
      <c r="BC28" s="117"/>
      <c r="BD28" s="117">
        <f t="shared" si="41"/>
        <v>20</v>
      </c>
      <c r="BE28" s="117"/>
      <c r="BF28" s="105"/>
      <c r="BG28" s="117">
        <f t="shared" si="42"/>
        <v>0</v>
      </c>
      <c r="BH28" s="117"/>
      <c r="BI28" s="117"/>
      <c r="BJ28" s="117">
        <f t="shared" si="43"/>
        <v>0</v>
      </c>
      <c r="BK28" s="117">
        <f t="shared" si="20"/>
        <v>20</v>
      </c>
      <c r="BL28" s="66" t="s">
        <v>122</v>
      </c>
      <c r="BM28" s="118">
        <f t="shared" si="44"/>
        <v>0</v>
      </c>
      <c r="BN28" s="119"/>
    </row>
    <row r="29" spans="1:66" x14ac:dyDescent="0.2">
      <c r="A29" s="59" t="s">
        <v>107</v>
      </c>
      <c r="B29" s="68">
        <v>4</v>
      </c>
      <c r="C29" s="59" t="s">
        <v>48</v>
      </c>
      <c r="D29" s="71">
        <v>2768.5602455505855</v>
      </c>
      <c r="E29" s="71">
        <v>46.869754449414359</v>
      </c>
      <c r="F29" s="71">
        <v>2815.43</v>
      </c>
      <c r="G29" s="111">
        <f t="shared" si="27"/>
        <v>5.9424838532652284E-2</v>
      </c>
      <c r="H29" s="58">
        <f t="shared" si="28"/>
        <v>171.8566330364304</v>
      </c>
      <c r="I29" s="112">
        <v>172</v>
      </c>
      <c r="J29" s="58">
        <f t="shared" si="29"/>
        <v>99.239480349529316</v>
      </c>
      <c r="K29" s="112">
        <v>99</v>
      </c>
      <c r="L29" s="105"/>
      <c r="M29" s="113">
        <f>1280+1376+1160+360</f>
        <v>4176</v>
      </c>
      <c r="N29" s="114">
        <f t="shared" si="21"/>
        <v>104.4</v>
      </c>
      <c r="O29" s="114">
        <f>1280+1376+1160+360</f>
        <v>4176</v>
      </c>
      <c r="P29" s="114"/>
      <c r="Q29" s="114">
        <f t="shared" si="9"/>
        <v>104.4</v>
      </c>
      <c r="R29" s="114"/>
      <c r="S29" s="114">
        <f t="shared" si="30"/>
        <v>0</v>
      </c>
      <c r="T29" s="114">
        <f>1280+1376+1160+360</f>
        <v>4176</v>
      </c>
      <c r="U29" s="114">
        <v>500</v>
      </c>
      <c r="V29" s="114">
        <f t="shared" si="31"/>
        <v>500</v>
      </c>
      <c r="W29" s="114">
        <f t="shared" si="11"/>
        <v>604.4</v>
      </c>
      <c r="Z29" s="105"/>
      <c r="AA29" s="113"/>
      <c r="AB29" s="115">
        <f t="shared" si="32"/>
        <v>0</v>
      </c>
      <c r="AC29" s="115">
        <f>1280+1376+1160+360</f>
        <v>4176</v>
      </c>
      <c r="AD29" s="115"/>
      <c r="AE29" s="115">
        <f t="shared" si="33"/>
        <v>0</v>
      </c>
      <c r="AF29" s="115"/>
      <c r="AG29" s="115">
        <f t="shared" si="34"/>
        <v>0</v>
      </c>
      <c r="AH29" s="115">
        <f>1280+1376+1160+360</f>
        <v>4176</v>
      </c>
      <c r="AI29" s="115"/>
      <c r="AJ29" s="115">
        <f t="shared" si="35"/>
        <v>0</v>
      </c>
      <c r="AK29" s="115">
        <f t="shared" si="36"/>
        <v>0</v>
      </c>
      <c r="AL29" s="105"/>
      <c r="AM29" s="105">
        <f>80+295+285+55+300</f>
        <v>1015</v>
      </c>
      <c r="AN29" s="116">
        <f t="shared" si="15"/>
        <v>67.666666666666671</v>
      </c>
      <c r="AO29" s="116"/>
      <c r="AP29" s="116"/>
      <c r="AQ29" s="116">
        <f t="shared" si="37"/>
        <v>67.666666666666671</v>
      </c>
      <c r="AR29" s="105"/>
      <c r="AS29" s="116">
        <f t="shared" si="38"/>
        <v>0</v>
      </c>
      <c r="AT29" s="116"/>
      <c r="AU29" s="116"/>
      <c r="AV29" s="116">
        <f t="shared" si="39"/>
        <v>0</v>
      </c>
      <c r="AW29" s="116">
        <f t="shared" si="40"/>
        <v>67.666666666666671</v>
      </c>
      <c r="AX29" s="105"/>
      <c r="AY29" s="105"/>
      <c r="AZ29" s="105"/>
      <c r="BA29" s="117"/>
      <c r="BB29" s="117">
        <v>500</v>
      </c>
      <c r="BC29" s="117"/>
      <c r="BD29" s="117">
        <f t="shared" si="41"/>
        <v>604.4</v>
      </c>
      <c r="BE29" s="117"/>
      <c r="BF29" s="105"/>
      <c r="BG29" s="117">
        <f t="shared" si="42"/>
        <v>0</v>
      </c>
      <c r="BH29" s="117"/>
      <c r="BI29" s="117"/>
      <c r="BJ29" s="117">
        <f>BG29+BH29+BI29</f>
        <v>0</v>
      </c>
      <c r="BK29" s="117">
        <f t="shared" si="20"/>
        <v>604.4</v>
      </c>
      <c r="BL29" s="66" t="s">
        <v>85</v>
      </c>
      <c r="BM29" s="118">
        <f t="shared" si="44"/>
        <v>432.4</v>
      </c>
      <c r="BN29" s="119" t="s">
        <v>103</v>
      </c>
    </row>
    <row r="30" spans="1:66" x14ac:dyDescent="0.2">
      <c r="B30" s="68">
        <v>5</v>
      </c>
      <c r="C30" s="59" t="s">
        <v>49</v>
      </c>
      <c r="D30" s="71">
        <v>99.448876939183407</v>
      </c>
      <c r="E30" s="71">
        <v>597.07112306081672</v>
      </c>
      <c r="F30" s="71">
        <v>696.5200000000001</v>
      </c>
      <c r="G30" s="111">
        <f t="shared" si="27"/>
        <v>1.4701338173835959E-2</v>
      </c>
      <c r="H30" s="58">
        <f t="shared" si="28"/>
        <v>42.516269998733591</v>
      </c>
      <c r="I30" s="112">
        <v>43</v>
      </c>
      <c r="J30" s="58">
        <f t="shared" si="29"/>
        <v>24.551234750306051</v>
      </c>
      <c r="K30" s="112">
        <v>25</v>
      </c>
      <c r="L30" s="105"/>
      <c r="M30" s="113">
        <v>0</v>
      </c>
      <c r="N30" s="114">
        <f t="shared" si="21"/>
        <v>0</v>
      </c>
      <c r="O30" s="114">
        <v>1720</v>
      </c>
      <c r="P30" s="114">
        <v>43</v>
      </c>
      <c r="Q30" s="114">
        <f t="shared" si="9"/>
        <v>43</v>
      </c>
      <c r="R30" s="114"/>
      <c r="S30" s="114">
        <f t="shared" si="30"/>
        <v>0</v>
      </c>
      <c r="T30" s="114">
        <v>1720</v>
      </c>
      <c r="U30" s="114"/>
      <c r="V30" s="114">
        <f t="shared" si="31"/>
        <v>0</v>
      </c>
      <c r="W30" s="114">
        <f t="shared" si="11"/>
        <v>43</v>
      </c>
      <c r="Z30" s="105"/>
      <c r="AA30" s="113"/>
      <c r="AB30" s="115">
        <f t="shared" si="32"/>
        <v>0</v>
      </c>
      <c r="AC30" s="115">
        <v>1720</v>
      </c>
      <c r="AD30" s="115"/>
      <c r="AE30" s="115">
        <f t="shared" si="33"/>
        <v>0</v>
      </c>
      <c r="AF30" s="115"/>
      <c r="AG30" s="115">
        <f t="shared" si="34"/>
        <v>0</v>
      </c>
      <c r="AH30" s="115">
        <v>1720</v>
      </c>
      <c r="AI30" s="115"/>
      <c r="AJ30" s="115">
        <f t="shared" si="35"/>
        <v>0</v>
      </c>
      <c r="AK30" s="115">
        <f t="shared" si="36"/>
        <v>0</v>
      </c>
      <c r="AL30" s="105"/>
      <c r="AM30" s="105"/>
      <c r="AN30" s="116">
        <f t="shared" si="15"/>
        <v>0</v>
      </c>
      <c r="AO30" s="116"/>
      <c r="AP30" s="116"/>
      <c r="AQ30" s="116">
        <f t="shared" si="37"/>
        <v>0</v>
      </c>
      <c r="AR30" s="105"/>
      <c r="AS30" s="116">
        <f t="shared" si="38"/>
        <v>0</v>
      </c>
      <c r="AT30" s="116"/>
      <c r="AU30" s="116"/>
      <c r="AV30" s="116">
        <f t="shared" si="39"/>
        <v>0</v>
      </c>
      <c r="AW30" s="116">
        <f t="shared" si="40"/>
        <v>0</v>
      </c>
      <c r="AX30" s="105"/>
      <c r="AY30" s="105"/>
      <c r="AZ30" s="105"/>
      <c r="BA30" s="117"/>
      <c r="BB30" s="117"/>
      <c r="BC30" s="117"/>
      <c r="BD30" s="117">
        <f t="shared" si="41"/>
        <v>0</v>
      </c>
      <c r="BE30" s="117"/>
      <c r="BF30" s="105"/>
      <c r="BG30" s="117">
        <f t="shared" si="42"/>
        <v>0</v>
      </c>
      <c r="BH30" s="117"/>
      <c r="BI30" s="117"/>
      <c r="BJ30" s="117">
        <f t="shared" ref="BJ30:BJ39" si="45">BG30+BH30+BI30</f>
        <v>0</v>
      </c>
      <c r="BK30" s="117">
        <f t="shared" si="20"/>
        <v>0</v>
      </c>
      <c r="BM30" s="118">
        <f t="shared" si="44"/>
        <v>-43</v>
      </c>
      <c r="BN30" s="119"/>
    </row>
    <row r="31" spans="1:66" x14ac:dyDescent="0.2">
      <c r="B31" s="68">
        <v>6</v>
      </c>
      <c r="C31" s="59" t="s">
        <v>50</v>
      </c>
      <c r="D31" s="71">
        <v>15.898662796231084</v>
      </c>
      <c r="E31" s="71">
        <v>396.60133720376894</v>
      </c>
      <c r="F31" s="71">
        <v>412.5</v>
      </c>
      <c r="G31" s="111">
        <f t="shared" si="27"/>
        <v>8.7065726708598929E-3</v>
      </c>
      <c r="H31" s="58">
        <f t="shared" si="28"/>
        <v>25.179408164126809</v>
      </c>
      <c r="I31" s="112">
        <v>25</v>
      </c>
      <c r="J31" s="58">
        <f t="shared" si="29"/>
        <v>14.539976360336022</v>
      </c>
      <c r="K31" s="112">
        <v>15</v>
      </c>
      <c r="L31" s="105"/>
      <c r="M31" s="113">
        <v>1000</v>
      </c>
      <c r="N31" s="114">
        <f t="shared" si="21"/>
        <v>25</v>
      </c>
      <c r="O31" s="114">
        <f>660+400+1000</f>
        <v>2060</v>
      </c>
      <c r="P31" s="114">
        <v>27</v>
      </c>
      <c r="Q31" s="114">
        <f t="shared" si="9"/>
        <v>52</v>
      </c>
      <c r="R31" s="114"/>
      <c r="S31" s="114">
        <f t="shared" si="30"/>
        <v>0</v>
      </c>
      <c r="T31" s="114">
        <f>660+400+1000</f>
        <v>2060</v>
      </c>
      <c r="U31" s="114"/>
      <c r="V31" s="114">
        <f t="shared" si="31"/>
        <v>0</v>
      </c>
      <c r="W31" s="114">
        <f t="shared" si="11"/>
        <v>52</v>
      </c>
      <c r="X31" s="161" t="s">
        <v>122</v>
      </c>
      <c r="Z31" s="105"/>
      <c r="AA31" s="113"/>
      <c r="AB31" s="115">
        <f t="shared" si="32"/>
        <v>0</v>
      </c>
      <c r="AC31" s="115">
        <f>660+400+1000</f>
        <v>2060</v>
      </c>
      <c r="AD31" s="115"/>
      <c r="AE31" s="115">
        <f t="shared" si="33"/>
        <v>0</v>
      </c>
      <c r="AF31" s="115"/>
      <c r="AG31" s="115">
        <f t="shared" si="34"/>
        <v>0</v>
      </c>
      <c r="AH31" s="115">
        <f>660+400+1000</f>
        <v>2060</v>
      </c>
      <c r="AI31" s="115"/>
      <c r="AJ31" s="115">
        <f t="shared" si="35"/>
        <v>0</v>
      </c>
      <c r="AK31" s="115">
        <f t="shared" si="36"/>
        <v>0</v>
      </c>
      <c r="AL31" s="105"/>
      <c r="AM31" s="105">
        <f>155+90</f>
        <v>245</v>
      </c>
      <c r="AN31" s="116">
        <f t="shared" si="15"/>
        <v>16.333333333333332</v>
      </c>
      <c r="AO31" s="116"/>
      <c r="AP31" s="116"/>
      <c r="AQ31" s="116">
        <f t="shared" si="37"/>
        <v>16.333333333333332</v>
      </c>
      <c r="AR31" s="105"/>
      <c r="AS31" s="116">
        <f t="shared" si="38"/>
        <v>0</v>
      </c>
      <c r="AT31" s="116"/>
      <c r="AU31" s="116"/>
      <c r="AV31" s="116">
        <f t="shared" si="39"/>
        <v>0</v>
      </c>
      <c r="AW31" s="116">
        <f t="shared" si="40"/>
        <v>16.333333333333332</v>
      </c>
      <c r="AX31" s="105"/>
      <c r="AY31" s="105"/>
      <c r="AZ31" s="105"/>
      <c r="BA31" s="117"/>
      <c r="BB31" s="117"/>
      <c r="BC31" s="117"/>
      <c r="BD31" s="117">
        <f t="shared" si="41"/>
        <v>25</v>
      </c>
      <c r="BE31" s="117"/>
      <c r="BF31" s="105"/>
      <c r="BG31" s="117">
        <f t="shared" si="42"/>
        <v>0</v>
      </c>
      <c r="BH31" s="117"/>
      <c r="BI31" s="117"/>
      <c r="BJ31" s="117">
        <f t="shared" si="45"/>
        <v>0</v>
      </c>
      <c r="BK31" s="117">
        <f t="shared" si="20"/>
        <v>25</v>
      </c>
      <c r="BL31" s="66" t="s">
        <v>83</v>
      </c>
      <c r="BM31" s="118">
        <f t="shared" si="44"/>
        <v>0</v>
      </c>
      <c r="BN31" s="119" t="s">
        <v>95</v>
      </c>
    </row>
    <row r="32" spans="1:66" s="120" customFormat="1" x14ac:dyDescent="0.2">
      <c r="A32" s="62"/>
      <c r="B32" s="72">
        <v>7</v>
      </c>
      <c r="C32" s="62" t="s">
        <v>51</v>
      </c>
      <c r="D32" s="128">
        <v>196.26625107071476</v>
      </c>
      <c r="E32" s="128">
        <v>350.73374892928524</v>
      </c>
      <c r="F32" s="128">
        <v>547</v>
      </c>
      <c r="G32" s="129">
        <f t="shared" si="27"/>
        <v>1.154544303263118E-2</v>
      </c>
      <c r="H32" s="128">
        <f t="shared" si="28"/>
        <v>33.389421250369374</v>
      </c>
      <c r="I32" s="112">
        <v>33</v>
      </c>
      <c r="J32" s="130">
        <f t="shared" si="29"/>
        <v>19.280889864494071</v>
      </c>
      <c r="K32" s="112">
        <v>19</v>
      </c>
      <c r="L32" s="105"/>
      <c r="M32" s="113">
        <f>649+988</f>
        <v>1637</v>
      </c>
      <c r="N32" s="114">
        <f t="shared" si="21"/>
        <v>40.924999999999997</v>
      </c>
      <c r="O32" s="114">
        <f>649+988</f>
        <v>1637</v>
      </c>
      <c r="P32" s="114"/>
      <c r="Q32" s="114">
        <f t="shared" si="9"/>
        <v>40.924999999999997</v>
      </c>
      <c r="R32" s="114"/>
      <c r="S32" s="114">
        <f t="shared" si="30"/>
        <v>0</v>
      </c>
      <c r="T32" s="114">
        <f>649+988</f>
        <v>1637</v>
      </c>
      <c r="U32" s="114"/>
      <c r="V32" s="114">
        <f t="shared" si="31"/>
        <v>0</v>
      </c>
      <c r="W32" s="114">
        <f t="shared" si="11"/>
        <v>40.924999999999997</v>
      </c>
      <c r="X32" s="161"/>
      <c r="Y32" s="161"/>
      <c r="Z32" s="105"/>
      <c r="AA32" s="113"/>
      <c r="AB32" s="115">
        <f t="shared" si="32"/>
        <v>0</v>
      </c>
      <c r="AC32" s="115">
        <f>649+988</f>
        <v>1637</v>
      </c>
      <c r="AD32" s="115"/>
      <c r="AE32" s="115">
        <f t="shared" si="33"/>
        <v>0</v>
      </c>
      <c r="AF32" s="115"/>
      <c r="AG32" s="115">
        <f t="shared" si="34"/>
        <v>0</v>
      </c>
      <c r="AH32" s="115">
        <f>649+988</f>
        <v>1637</v>
      </c>
      <c r="AI32" s="115"/>
      <c r="AJ32" s="115">
        <f t="shared" si="35"/>
        <v>0</v>
      </c>
      <c r="AK32" s="115">
        <f t="shared" si="36"/>
        <v>0</v>
      </c>
      <c r="AL32" s="105"/>
      <c r="AM32" s="105">
        <f>240+198</f>
        <v>438</v>
      </c>
      <c r="AN32" s="116">
        <f t="shared" si="15"/>
        <v>29.2</v>
      </c>
      <c r="AO32" s="116"/>
      <c r="AP32" s="116"/>
      <c r="AQ32" s="116">
        <f t="shared" si="37"/>
        <v>29.2</v>
      </c>
      <c r="AR32" s="105"/>
      <c r="AS32" s="116">
        <f t="shared" si="38"/>
        <v>0</v>
      </c>
      <c r="AT32" s="116"/>
      <c r="AU32" s="116"/>
      <c r="AV32" s="116">
        <f t="shared" si="39"/>
        <v>0</v>
      </c>
      <c r="AW32" s="116">
        <f t="shared" si="40"/>
        <v>29.2</v>
      </c>
      <c r="AX32" s="105"/>
      <c r="AY32" s="105"/>
      <c r="AZ32" s="105"/>
      <c r="BA32" s="117"/>
      <c r="BB32" s="117"/>
      <c r="BC32" s="117"/>
      <c r="BD32" s="117">
        <f t="shared" si="41"/>
        <v>40.924999999999997</v>
      </c>
      <c r="BE32" s="117"/>
      <c r="BF32" s="105"/>
      <c r="BG32" s="117">
        <f t="shared" si="42"/>
        <v>0</v>
      </c>
      <c r="BH32" s="117"/>
      <c r="BI32" s="117"/>
      <c r="BJ32" s="117">
        <f t="shared" si="45"/>
        <v>0</v>
      </c>
      <c r="BK32" s="117">
        <f t="shared" si="20"/>
        <v>40.924999999999997</v>
      </c>
      <c r="BL32" s="131" t="s">
        <v>83</v>
      </c>
      <c r="BM32" s="118">
        <f t="shared" si="44"/>
        <v>7.9249999999999972</v>
      </c>
      <c r="BN32" s="119" t="s">
        <v>97</v>
      </c>
    </row>
    <row r="33" spans="1:70" x14ac:dyDescent="0.2">
      <c r="B33" s="68">
        <v>8</v>
      </c>
      <c r="C33" s="59" t="s">
        <v>52</v>
      </c>
      <c r="D33" s="71">
        <v>0</v>
      </c>
      <c r="E33" s="71">
        <v>325</v>
      </c>
      <c r="F33" s="71">
        <v>325</v>
      </c>
      <c r="G33" s="111">
        <f t="shared" si="27"/>
        <v>6.8597239224956735E-3</v>
      </c>
      <c r="H33" s="58">
        <f t="shared" si="28"/>
        <v>19.838321583857489</v>
      </c>
      <c r="I33" s="112">
        <v>20</v>
      </c>
      <c r="J33" s="58">
        <f t="shared" si="29"/>
        <v>11.455738950567774</v>
      </c>
      <c r="K33" s="112">
        <v>11</v>
      </c>
      <c r="L33" s="105"/>
      <c r="M33" s="113">
        <f>800</f>
        <v>800</v>
      </c>
      <c r="N33" s="114">
        <f t="shared" si="21"/>
        <v>20</v>
      </c>
      <c r="O33" s="114">
        <f>800</f>
        <v>800</v>
      </c>
      <c r="P33" s="114"/>
      <c r="Q33" s="114">
        <f t="shared" si="9"/>
        <v>20</v>
      </c>
      <c r="R33" s="114"/>
      <c r="S33" s="114">
        <f t="shared" si="30"/>
        <v>0</v>
      </c>
      <c r="T33" s="114">
        <f>800</f>
        <v>800</v>
      </c>
      <c r="U33" s="114"/>
      <c r="V33" s="114">
        <f t="shared" si="31"/>
        <v>0</v>
      </c>
      <c r="W33" s="114">
        <f t="shared" si="11"/>
        <v>20</v>
      </c>
      <c r="X33" s="161" t="s">
        <v>88</v>
      </c>
      <c r="Z33" s="105"/>
      <c r="AA33" s="113"/>
      <c r="AB33" s="115">
        <f t="shared" si="32"/>
        <v>0</v>
      </c>
      <c r="AC33" s="115">
        <f>800</f>
        <v>800</v>
      </c>
      <c r="AD33" s="115"/>
      <c r="AE33" s="115">
        <f t="shared" si="33"/>
        <v>0</v>
      </c>
      <c r="AF33" s="115"/>
      <c r="AG33" s="115">
        <f t="shared" si="34"/>
        <v>0</v>
      </c>
      <c r="AH33" s="115">
        <f>800</f>
        <v>800</v>
      </c>
      <c r="AI33" s="115"/>
      <c r="AJ33" s="115">
        <f t="shared" si="35"/>
        <v>0</v>
      </c>
      <c r="AK33" s="115">
        <f t="shared" si="36"/>
        <v>0</v>
      </c>
      <c r="AL33" s="105"/>
      <c r="AM33" s="105">
        <f>165</f>
        <v>165</v>
      </c>
      <c r="AN33" s="116">
        <f t="shared" si="15"/>
        <v>11</v>
      </c>
      <c r="AO33" s="116"/>
      <c r="AP33" s="116"/>
      <c r="AQ33" s="116">
        <f t="shared" si="37"/>
        <v>11</v>
      </c>
      <c r="AR33" s="105"/>
      <c r="AS33" s="116">
        <f t="shared" si="38"/>
        <v>0</v>
      </c>
      <c r="AT33" s="116"/>
      <c r="AU33" s="116"/>
      <c r="AV33" s="116">
        <f t="shared" si="39"/>
        <v>0</v>
      </c>
      <c r="AW33" s="116">
        <f t="shared" si="40"/>
        <v>11</v>
      </c>
      <c r="AX33" s="105"/>
      <c r="AY33" s="105"/>
      <c r="AZ33" s="105"/>
      <c r="BA33" s="117"/>
      <c r="BB33" s="117"/>
      <c r="BC33" s="117"/>
      <c r="BD33" s="117">
        <f t="shared" si="41"/>
        <v>20</v>
      </c>
      <c r="BE33" s="117"/>
      <c r="BF33" s="105"/>
      <c r="BG33" s="117">
        <f t="shared" si="42"/>
        <v>0</v>
      </c>
      <c r="BH33" s="117"/>
      <c r="BI33" s="117"/>
      <c r="BJ33" s="117">
        <f t="shared" si="45"/>
        <v>0</v>
      </c>
      <c r="BK33" s="117">
        <f t="shared" si="20"/>
        <v>20</v>
      </c>
      <c r="BL33" s="66" t="s">
        <v>87</v>
      </c>
      <c r="BM33" s="118">
        <f t="shared" si="44"/>
        <v>0</v>
      </c>
      <c r="BN33" s="119" t="s">
        <v>93</v>
      </c>
    </row>
    <row r="34" spans="1:70" x14ac:dyDescent="0.2">
      <c r="B34" s="68">
        <v>9</v>
      </c>
      <c r="C34" s="59" t="s">
        <v>53</v>
      </c>
      <c r="D34" s="71">
        <v>188.59103454839629</v>
      </c>
      <c r="E34" s="71">
        <v>530.40896545160376</v>
      </c>
      <c r="F34" s="71">
        <v>719</v>
      </c>
      <c r="G34" s="111">
        <f t="shared" si="27"/>
        <v>1.5175820000844274E-2</v>
      </c>
      <c r="H34" s="58">
        <f t="shared" si="28"/>
        <v>43.888471442441642</v>
      </c>
      <c r="I34" s="112">
        <v>44</v>
      </c>
      <c r="J34" s="58">
        <f t="shared" si="29"/>
        <v>25.343619401409939</v>
      </c>
      <c r="K34" s="112">
        <v>25</v>
      </c>
      <c r="L34" s="105"/>
      <c r="M34" s="113"/>
      <c r="N34" s="114">
        <f t="shared" si="21"/>
        <v>0</v>
      </c>
      <c r="O34" s="114"/>
      <c r="P34" s="114"/>
      <c r="Q34" s="114">
        <f t="shared" si="9"/>
        <v>0</v>
      </c>
      <c r="R34" s="114"/>
      <c r="S34" s="114">
        <f t="shared" si="30"/>
        <v>0</v>
      </c>
      <c r="T34" s="114"/>
      <c r="U34" s="114"/>
      <c r="V34" s="114">
        <f t="shared" si="31"/>
        <v>0</v>
      </c>
      <c r="W34" s="114">
        <f t="shared" si="11"/>
        <v>0</v>
      </c>
      <c r="Z34" s="105"/>
      <c r="AA34" s="113"/>
      <c r="AB34" s="115">
        <f t="shared" si="32"/>
        <v>0</v>
      </c>
      <c r="AC34" s="115"/>
      <c r="AD34" s="115"/>
      <c r="AE34" s="115">
        <f t="shared" si="33"/>
        <v>0</v>
      </c>
      <c r="AF34" s="115"/>
      <c r="AG34" s="115">
        <f t="shared" si="34"/>
        <v>0</v>
      </c>
      <c r="AH34" s="115"/>
      <c r="AI34" s="115"/>
      <c r="AJ34" s="115">
        <f t="shared" si="35"/>
        <v>0</v>
      </c>
      <c r="AK34" s="115">
        <f t="shared" si="36"/>
        <v>0</v>
      </c>
      <c r="AL34" s="105"/>
      <c r="AM34" s="105"/>
      <c r="AN34" s="116">
        <f t="shared" si="15"/>
        <v>0</v>
      </c>
      <c r="AO34" s="116"/>
      <c r="AP34" s="116"/>
      <c r="AQ34" s="116">
        <f t="shared" si="37"/>
        <v>0</v>
      </c>
      <c r="AR34" s="105"/>
      <c r="AS34" s="116">
        <f t="shared" si="38"/>
        <v>0</v>
      </c>
      <c r="AT34" s="116"/>
      <c r="AU34" s="116"/>
      <c r="AV34" s="116">
        <f t="shared" si="39"/>
        <v>0</v>
      </c>
      <c r="AW34" s="116">
        <f t="shared" si="40"/>
        <v>0</v>
      </c>
      <c r="AX34" s="105"/>
      <c r="AY34" s="105"/>
      <c r="AZ34" s="105"/>
      <c r="BA34" s="117"/>
      <c r="BB34" s="117"/>
      <c r="BC34" s="117"/>
      <c r="BD34" s="117">
        <f t="shared" si="41"/>
        <v>0</v>
      </c>
      <c r="BE34" s="117"/>
      <c r="BF34" s="105"/>
      <c r="BG34" s="117">
        <f t="shared" si="42"/>
        <v>0</v>
      </c>
      <c r="BH34" s="117"/>
      <c r="BI34" s="117"/>
      <c r="BJ34" s="117">
        <f t="shared" si="45"/>
        <v>0</v>
      </c>
      <c r="BK34" s="117">
        <f t="shared" si="20"/>
        <v>0</v>
      </c>
      <c r="BM34" s="118">
        <f t="shared" si="44"/>
        <v>-44</v>
      </c>
      <c r="BN34" s="119"/>
    </row>
    <row r="35" spans="1:70" x14ac:dyDescent="0.2">
      <c r="B35" s="68">
        <v>10</v>
      </c>
      <c r="C35" s="59" t="s">
        <v>54</v>
      </c>
      <c r="D35" s="71">
        <v>29.056176834491293</v>
      </c>
      <c r="E35" s="71">
        <v>376.44382316550872</v>
      </c>
      <c r="F35" s="71">
        <v>405.5</v>
      </c>
      <c r="G35" s="111">
        <f t="shared" si="27"/>
        <v>8.5588247709907552E-3</v>
      </c>
      <c r="H35" s="58">
        <f t="shared" si="28"/>
        <v>24.752121237705264</v>
      </c>
      <c r="I35" s="112">
        <v>25</v>
      </c>
      <c r="J35" s="58">
        <f t="shared" si="29"/>
        <v>14.293237367554561</v>
      </c>
      <c r="K35" s="112">
        <v>14</v>
      </c>
      <c r="L35" s="105"/>
      <c r="M35" s="113"/>
      <c r="N35" s="114">
        <f t="shared" si="21"/>
        <v>0</v>
      </c>
      <c r="O35" s="114"/>
      <c r="P35" s="114"/>
      <c r="Q35" s="114">
        <f t="shared" si="9"/>
        <v>0</v>
      </c>
      <c r="R35" s="114"/>
      <c r="S35" s="114">
        <f t="shared" si="30"/>
        <v>0</v>
      </c>
      <c r="T35" s="114"/>
      <c r="U35" s="114"/>
      <c r="V35" s="114">
        <f t="shared" si="31"/>
        <v>0</v>
      </c>
      <c r="W35" s="114">
        <f t="shared" si="11"/>
        <v>0</v>
      </c>
      <c r="Z35" s="105"/>
      <c r="AA35" s="113"/>
      <c r="AB35" s="115">
        <f t="shared" si="32"/>
        <v>0</v>
      </c>
      <c r="AC35" s="115"/>
      <c r="AD35" s="115"/>
      <c r="AE35" s="115">
        <f t="shared" si="33"/>
        <v>0</v>
      </c>
      <c r="AF35" s="115"/>
      <c r="AG35" s="115">
        <f t="shared" si="34"/>
        <v>0</v>
      </c>
      <c r="AH35" s="115"/>
      <c r="AI35" s="115"/>
      <c r="AJ35" s="115">
        <f t="shared" si="35"/>
        <v>0</v>
      </c>
      <c r="AK35" s="115">
        <f t="shared" si="36"/>
        <v>0</v>
      </c>
      <c r="AL35" s="105"/>
      <c r="AM35" s="105"/>
      <c r="AN35" s="116">
        <f t="shared" si="15"/>
        <v>0</v>
      </c>
      <c r="AO35" s="116"/>
      <c r="AP35" s="116"/>
      <c r="AQ35" s="116">
        <f t="shared" si="37"/>
        <v>0</v>
      </c>
      <c r="AR35" s="105"/>
      <c r="AS35" s="116">
        <f t="shared" si="38"/>
        <v>0</v>
      </c>
      <c r="AT35" s="116"/>
      <c r="AU35" s="116"/>
      <c r="AV35" s="116">
        <f t="shared" si="39"/>
        <v>0</v>
      </c>
      <c r="AW35" s="116">
        <f t="shared" si="40"/>
        <v>0</v>
      </c>
      <c r="AX35" s="105"/>
      <c r="AY35" s="105"/>
      <c r="AZ35" s="105"/>
      <c r="BA35" s="117"/>
      <c r="BB35" s="117"/>
      <c r="BC35" s="117"/>
      <c r="BD35" s="117">
        <f t="shared" si="41"/>
        <v>0</v>
      </c>
      <c r="BE35" s="117"/>
      <c r="BF35" s="105"/>
      <c r="BG35" s="117">
        <f t="shared" si="42"/>
        <v>0</v>
      </c>
      <c r="BH35" s="117"/>
      <c r="BI35" s="117"/>
      <c r="BJ35" s="117">
        <f t="shared" si="45"/>
        <v>0</v>
      </c>
      <c r="BK35" s="117">
        <f t="shared" si="20"/>
        <v>0</v>
      </c>
      <c r="BM35" s="118">
        <f t="shared" si="44"/>
        <v>-25</v>
      </c>
      <c r="BN35" s="119"/>
    </row>
    <row r="36" spans="1:70" x14ac:dyDescent="0.2">
      <c r="A36" s="59" t="s">
        <v>107</v>
      </c>
      <c r="B36" s="68">
        <v>11</v>
      </c>
      <c r="C36" s="59" t="s">
        <v>55</v>
      </c>
      <c r="D36" s="71">
        <v>1741.1776910631008</v>
      </c>
      <c r="E36" s="71">
        <v>540.82230893689916</v>
      </c>
      <c r="F36" s="71">
        <v>2282</v>
      </c>
      <c r="G36" s="111">
        <f t="shared" si="27"/>
        <v>4.8165815357338847E-2</v>
      </c>
      <c r="H36" s="58">
        <f t="shared" si="28"/>
        <v>139.29553801342394</v>
      </c>
      <c r="I36" s="112">
        <v>140</v>
      </c>
      <c r="J36" s="58">
        <f t="shared" si="29"/>
        <v>80.436911646755874</v>
      </c>
      <c r="K36" s="112">
        <v>80</v>
      </c>
      <c r="L36" s="105"/>
      <c r="M36" s="113"/>
      <c r="N36" s="114">
        <f t="shared" si="21"/>
        <v>0</v>
      </c>
      <c r="O36" s="114"/>
      <c r="P36" s="114"/>
      <c r="Q36" s="114">
        <f t="shared" si="9"/>
        <v>0</v>
      </c>
      <c r="R36" s="114"/>
      <c r="S36" s="114">
        <f t="shared" si="30"/>
        <v>0</v>
      </c>
      <c r="T36" s="114"/>
      <c r="U36" s="114">
        <v>120</v>
      </c>
      <c r="V36" s="114">
        <f t="shared" si="31"/>
        <v>120</v>
      </c>
      <c r="W36" s="114">
        <f t="shared" si="11"/>
        <v>120</v>
      </c>
      <c r="Z36" s="105"/>
      <c r="AA36" s="113"/>
      <c r="AB36" s="115">
        <f t="shared" si="32"/>
        <v>0</v>
      </c>
      <c r="AC36" s="115"/>
      <c r="AD36" s="115"/>
      <c r="AE36" s="115">
        <f t="shared" si="33"/>
        <v>0</v>
      </c>
      <c r="AF36" s="115"/>
      <c r="AG36" s="115">
        <f t="shared" si="34"/>
        <v>0</v>
      </c>
      <c r="AH36" s="115"/>
      <c r="AI36" s="115"/>
      <c r="AJ36" s="115">
        <f t="shared" si="35"/>
        <v>0</v>
      </c>
      <c r="AK36" s="115">
        <f t="shared" si="36"/>
        <v>0</v>
      </c>
      <c r="AL36" s="105"/>
      <c r="AM36" s="105"/>
      <c r="AN36" s="116">
        <f t="shared" si="15"/>
        <v>0</v>
      </c>
      <c r="AO36" s="116"/>
      <c r="AP36" s="116"/>
      <c r="AQ36" s="116">
        <f t="shared" si="37"/>
        <v>0</v>
      </c>
      <c r="AR36" s="105"/>
      <c r="AS36" s="116">
        <f t="shared" si="38"/>
        <v>0</v>
      </c>
      <c r="AT36" s="116"/>
      <c r="AU36" s="116"/>
      <c r="AV36" s="116">
        <f t="shared" si="39"/>
        <v>0</v>
      </c>
      <c r="AW36" s="116">
        <f t="shared" si="40"/>
        <v>0</v>
      </c>
      <c r="AX36" s="105"/>
      <c r="AY36" s="105"/>
      <c r="AZ36" s="105"/>
      <c r="BA36" s="117"/>
      <c r="BB36" s="117">
        <v>100</v>
      </c>
      <c r="BC36" s="117"/>
      <c r="BD36" s="117">
        <f t="shared" si="41"/>
        <v>100</v>
      </c>
      <c r="BE36" s="117"/>
      <c r="BF36" s="105"/>
      <c r="BG36" s="117">
        <f t="shared" si="42"/>
        <v>0</v>
      </c>
      <c r="BH36" s="117"/>
      <c r="BI36" s="117"/>
      <c r="BJ36" s="117">
        <f t="shared" si="45"/>
        <v>0</v>
      </c>
      <c r="BK36" s="117">
        <f t="shared" si="20"/>
        <v>100</v>
      </c>
      <c r="BM36" s="118">
        <f t="shared" si="44"/>
        <v>-40</v>
      </c>
      <c r="BN36" s="119"/>
    </row>
    <row r="37" spans="1:70" x14ac:dyDescent="0.2">
      <c r="A37" s="59" t="s">
        <v>107</v>
      </c>
      <c r="B37" s="68">
        <v>12</v>
      </c>
      <c r="C37" s="59" t="s">
        <v>56</v>
      </c>
      <c r="D37" s="71">
        <v>286.72416008375365</v>
      </c>
      <c r="E37" s="71">
        <v>2448.7758399162462</v>
      </c>
      <c r="F37" s="71">
        <v>2735.5</v>
      </c>
      <c r="G37" s="111">
        <f t="shared" si="27"/>
        <v>5.7737768584575119E-2</v>
      </c>
      <c r="H37" s="58">
        <f t="shared" si="28"/>
        <v>166.97762674659126</v>
      </c>
      <c r="I37" s="112">
        <v>167</v>
      </c>
      <c r="J37" s="58">
        <f t="shared" si="29"/>
        <v>96.422073536240447</v>
      </c>
      <c r="K37" s="112">
        <v>96</v>
      </c>
      <c r="L37" s="105"/>
      <c r="M37" s="113"/>
      <c r="N37" s="114">
        <f t="shared" si="21"/>
        <v>0</v>
      </c>
      <c r="O37" s="114"/>
      <c r="P37" s="114"/>
      <c r="Q37" s="114">
        <f t="shared" si="9"/>
        <v>0</v>
      </c>
      <c r="R37" s="114"/>
      <c r="S37" s="114">
        <f t="shared" si="30"/>
        <v>0</v>
      </c>
      <c r="T37" s="114"/>
      <c r="U37" s="114"/>
      <c r="V37" s="114">
        <f t="shared" si="31"/>
        <v>0</v>
      </c>
      <c r="W37" s="114">
        <f t="shared" si="11"/>
        <v>0</v>
      </c>
      <c r="Z37" s="105"/>
      <c r="AA37" s="113"/>
      <c r="AB37" s="115">
        <f t="shared" si="32"/>
        <v>0</v>
      </c>
      <c r="AC37" s="115"/>
      <c r="AD37" s="115"/>
      <c r="AE37" s="115">
        <f t="shared" si="33"/>
        <v>0</v>
      </c>
      <c r="AF37" s="115"/>
      <c r="AG37" s="115">
        <f t="shared" si="34"/>
        <v>0</v>
      </c>
      <c r="AH37" s="115"/>
      <c r="AI37" s="115"/>
      <c r="AJ37" s="115">
        <f t="shared" si="35"/>
        <v>0</v>
      </c>
      <c r="AK37" s="115">
        <f t="shared" si="36"/>
        <v>0</v>
      </c>
      <c r="AL37" s="105"/>
      <c r="AM37" s="105"/>
      <c r="AN37" s="116">
        <f t="shared" si="15"/>
        <v>0</v>
      </c>
      <c r="AO37" s="116"/>
      <c r="AP37" s="116"/>
      <c r="AQ37" s="116">
        <f t="shared" si="37"/>
        <v>0</v>
      </c>
      <c r="AR37" s="105"/>
      <c r="AS37" s="116">
        <f t="shared" si="38"/>
        <v>0</v>
      </c>
      <c r="AT37" s="116"/>
      <c r="AU37" s="116"/>
      <c r="AV37" s="116">
        <f t="shared" si="39"/>
        <v>0</v>
      </c>
      <c r="AW37" s="116">
        <f t="shared" si="40"/>
        <v>0</v>
      </c>
      <c r="AX37" s="105"/>
      <c r="AY37" s="105"/>
      <c r="AZ37" s="105"/>
      <c r="BA37" s="117"/>
      <c r="BB37" s="117"/>
      <c r="BC37" s="117"/>
      <c r="BD37" s="117">
        <f t="shared" si="41"/>
        <v>0</v>
      </c>
      <c r="BE37" s="117"/>
      <c r="BF37" s="105"/>
      <c r="BG37" s="117">
        <f t="shared" si="42"/>
        <v>0</v>
      </c>
      <c r="BH37" s="117"/>
      <c r="BI37" s="117"/>
      <c r="BJ37" s="117">
        <f t="shared" si="45"/>
        <v>0</v>
      </c>
      <c r="BK37" s="117">
        <f t="shared" si="20"/>
        <v>0</v>
      </c>
      <c r="BM37" s="118">
        <f t="shared" si="44"/>
        <v>-167</v>
      </c>
      <c r="BN37" s="119"/>
    </row>
    <row r="38" spans="1:70" x14ac:dyDescent="0.2">
      <c r="B38" s="68">
        <v>13</v>
      </c>
      <c r="C38" s="59" t="s">
        <v>57</v>
      </c>
      <c r="D38" s="71">
        <v>590.44344246692674</v>
      </c>
      <c r="E38" s="71">
        <v>3212.0565575330734</v>
      </c>
      <c r="F38" s="71">
        <v>3802.5</v>
      </c>
      <c r="G38" s="111">
        <f t="shared" si="27"/>
        <v>8.0258769893199369E-2</v>
      </c>
      <c r="H38" s="58">
        <f t="shared" si="28"/>
        <v>232.10836253113257</v>
      </c>
      <c r="I38" s="112">
        <v>230</v>
      </c>
      <c r="J38" s="58">
        <f t="shared" si="29"/>
        <v>134.03214572164293</v>
      </c>
      <c r="K38" s="112">
        <v>134</v>
      </c>
      <c r="L38" s="105"/>
      <c r="M38" s="113"/>
      <c r="N38" s="114">
        <f t="shared" si="21"/>
        <v>0</v>
      </c>
      <c r="O38" s="114"/>
      <c r="P38" s="114"/>
      <c r="Q38" s="114">
        <f t="shared" si="9"/>
        <v>0</v>
      </c>
      <c r="R38" s="114"/>
      <c r="S38" s="114">
        <f t="shared" si="30"/>
        <v>0</v>
      </c>
      <c r="T38" s="114"/>
      <c r="U38" s="114"/>
      <c r="V38" s="114">
        <f t="shared" si="31"/>
        <v>0</v>
      </c>
      <c r="W38" s="114">
        <f t="shared" si="11"/>
        <v>0</v>
      </c>
      <c r="Z38" s="105"/>
      <c r="AA38" s="113"/>
      <c r="AB38" s="115">
        <f t="shared" si="32"/>
        <v>0</v>
      </c>
      <c r="AC38" s="115"/>
      <c r="AD38" s="115"/>
      <c r="AE38" s="115">
        <f t="shared" si="33"/>
        <v>0</v>
      </c>
      <c r="AF38" s="115"/>
      <c r="AG38" s="115">
        <f t="shared" si="34"/>
        <v>0</v>
      </c>
      <c r="AH38" s="115"/>
      <c r="AI38" s="115"/>
      <c r="AJ38" s="115">
        <f t="shared" si="35"/>
        <v>0</v>
      </c>
      <c r="AK38" s="115">
        <f t="shared" si="36"/>
        <v>0</v>
      </c>
      <c r="AL38" s="105"/>
      <c r="AM38" s="105"/>
      <c r="AN38" s="116">
        <f t="shared" si="15"/>
        <v>0</v>
      </c>
      <c r="AO38" s="116"/>
      <c r="AP38" s="116"/>
      <c r="AQ38" s="116">
        <f t="shared" si="37"/>
        <v>0</v>
      </c>
      <c r="AR38" s="105"/>
      <c r="AS38" s="116">
        <f t="shared" si="38"/>
        <v>0</v>
      </c>
      <c r="AT38" s="116"/>
      <c r="AU38" s="116"/>
      <c r="AV38" s="116">
        <f t="shared" si="39"/>
        <v>0</v>
      </c>
      <c r="AW38" s="116">
        <f t="shared" si="40"/>
        <v>0</v>
      </c>
      <c r="AX38" s="105"/>
      <c r="AY38" s="105"/>
      <c r="AZ38" s="105"/>
      <c r="BA38" s="117"/>
      <c r="BB38" s="117"/>
      <c r="BC38" s="117"/>
      <c r="BD38" s="117">
        <f t="shared" si="41"/>
        <v>0</v>
      </c>
      <c r="BE38" s="117"/>
      <c r="BF38" s="105"/>
      <c r="BG38" s="117">
        <f t="shared" si="42"/>
        <v>0</v>
      </c>
      <c r="BH38" s="117"/>
      <c r="BI38" s="117"/>
      <c r="BJ38" s="117">
        <f t="shared" si="45"/>
        <v>0</v>
      </c>
      <c r="BK38" s="117">
        <f t="shared" si="20"/>
        <v>0</v>
      </c>
      <c r="BM38" s="118">
        <f t="shared" si="44"/>
        <v>-230</v>
      </c>
      <c r="BN38" s="119"/>
    </row>
    <row r="39" spans="1:70" x14ac:dyDescent="0.2">
      <c r="A39" s="59" t="s">
        <v>107</v>
      </c>
      <c r="B39" s="68">
        <v>14</v>
      </c>
      <c r="C39" s="59" t="s">
        <v>58</v>
      </c>
      <c r="D39" s="71">
        <v>4536.0529646902069</v>
      </c>
      <c r="E39" s="71">
        <v>1528.9470353097931</v>
      </c>
      <c r="F39" s="71">
        <v>6065</v>
      </c>
      <c r="G39" s="111">
        <f t="shared" si="27"/>
        <v>0.12801300181518849</v>
      </c>
      <c r="H39" s="58">
        <f t="shared" si="28"/>
        <v>370.21360124952508</v>
      </c>
      <c r="I39" s="112">
        <v>368</v>
      </c>
      <c r="J39" s="58">
        <f t="shared" si="29"/>
        <v>213.78171303136477</v>
      </c>
      <c r="K39" s="112">
        <v>214</v>
      </c>
      <c r="L39" s="105"/>
      <c r="M39" s="113"/>
      <c r="N39" s="114">
        <f t="shared" si="21"/>
        <v>0</v>
      </c>
      <c r="O39" s="114"/>
      <c r="P39" s="114"/>
      <c r="Q39" s="114">
        <f t="shared" si="9"/>
        <v>0</v>
      </c>
      <c r="R39" s="114"/>
      <c r="S39" s="114">
        <f t="shared" si="30"/>
        <v>0</v>
      </c>
      <c r="T39" s="114"/>
      <c r="U39" s="114"/>
      <c r="V39" s="114">
        <f t="shared" si="31"/>
        <v>0</v>
      </c>
      <c r="W39" s="114">
        <f t="shared" si="11"/>
        <v>0</v>
      </c>
      <c r="Z39" s="105"/>
      <c r="AA39" s="113">
        <v>7880</v>
      </c>
      <c r="AB39" s="115">
        <f t="shared" si="32"/>
        <v>197</v>
      </c>
      <c r="AC39" s="115"/>
      <c r="AD39" s="115">
        <v>171</v>
      </c>
      <c r="AE39" s="115">
        <f t="shared" si="33"/>
        <v>368</v>
      </c>
      <c r="AF39" s="115"/>
      <c r="AG39" s="115">
        <f t="shared" si="34"/>
        <v>0</v>
      </c>
      <c r="AH39" s="115"/>
      <c r="AI39" s="115">
        <v>288</v>
      </c>
      <c r="AJ39" s="115">
        <f t="shared" si="35"/>
        <v>288</v>
      </c>
      <c r="AK39" s="115">
        <f t="shared" si="36"/>
        <v>656</v>
      </c>
      <c r="AL39" s="105"/>
      <c r="AM39" s="105"/>
      <c r="AN39" s="116">
        <f t="shared" si="15"/>
        <v>0</v>
      </c>
      <c r="AO39" s="116"/>
      <c r="AP39" s="116"/>
      <c r="AQ39" s="116">
        <f t="shared" si="37"/>
        <v>0</v>
      </c>
      <c r="AR39" s="105"/>
      <c r="AS39" s="116">
        <f t="shared" si="38"/>
        <v>0</v>
      </c>
      <c r="AT39" s="116"/>
      <c r="AU39" s="116"/>
      <c r="AV39" s="116">
        <f t="shared" si="39"/>
        <v>0</v>
      </c>
      <c r="AW39" s="116">
        <f t="shared" si="40"/>
        <v>0</v>
      </c>
      <c r="AX39" s="105"/>
      <c r="AY39" s="105"/>
      <c r="AZ39" s="105"/>
      <c r="BA39" s="117"/>
      <c r="BB39" s="117"/>
      <c r="BC39" s="117"/>
      <c r="BD39" s="117">
        <f t="shared" si="41"/>
        <v>0</v>
      </c>
      <c r="BE39" s="117"/>
      <c r="BF39" s="105">
        <f>600+480+2000+2000+400+400+2000</f>
        <v>7880</v>
      </c>
      <c r="BG39" s="117">
        <f t="shared" si="42"/>
        <v>197</v>
      </c>
      <c r="BH39" s="117"/>
      <c r="BI39" s="117">
        <v>171</v>
      </c>
      <c r="BJ39" s="117">
        <f t="shared" si="45"/>
        <v>368</v>
      </c>
      <c r="BK39" s="117">
        <f t="shared" si="20"/>
        <v>368</v>
      </c>
      <c r="BM39" s="118">
        <f t="shared" si="44"/>
        <v>-368</v>
      </c>
      <c r="BN39" s="119" t="s">
        <v>106</v>
      </c>
    </row>
    <row r="40" spans="1:70" s="124" customFormat="1" ht="15.75" x14ac:dyDescent="0.25">
      <c r="A40" s="99" t="s">
        <v>59</v>
      </c>
      <c r="C40" s="124">
        <v>19</v>
      </c>
      <c r="D40" s="125">
        <v>11206.364352336535</v>
      </c>
      <c r="E40" s="125">
        <v>8050.1356476634619</v>
      </c>
      <c r="F40" s="125">
        <v>19256.5</v>
      </c>
      <c r="G40" s="126"/>
      <c r="H40" s="127"/>
      <c r="I40" s="104">
        <f>SUM(I41:I59)</f>
        <v>1175</v>
      </c>
      <c r="J40" s="127"/>
      <c r="K40" s="104">
        <f>SUM(K41:K59)</f>
        <v>680</v>
      </c>
      <c r="L40" s="105"/>
      <c r="M40" s="104"/>
      <c r="N40" s="104">
        <f>SUM(N41:N59)</f>
        <v>593.27</v>
      </c>
      <c r="O40" s="104"/>
      <c r="P40" s="104">
        <f>SUM(P41:P59)</f>
        <v>0</v>
      </c>
      <c r="Q40" s="104">
        <f>SUM(Q41:Q59)</f>
        <v>593.27</v>
      </c>
      <c r="R40" s="104"/>
      <c r="S40" s="104">
        <f>SUM(S41:S59)</f>
        <v>0</v>
      </c>
      <c r="T40" s="104"/>
      <c r="U40" s="104">
        <f>SUM(U41:U59)</f>
        <v>480</v>
      </c>
      <c r="V40" s="104">
        <f>SUM(V41:V59)</f>
        <v>480</v>
      </c>
      <c r="W40" s="104">
        <f>SUM(W41:W59)</f>
        <v>1073.27</v>
      </c>
      <c r="X40" s="161"/>
      <c r="Y40" s="161"/>
      <c r="Z40" s="104"/>
      <c r="AA40" s="104"/>
      <c r="AB40" s="104">
        <f>SUM(AB41:AB59)</f>
        <v>0</v>
      </c>
      <c r="AC40" s="104"/>
      <c r="AD40" s="104">
        <f>SUM(AD41:AD59)</f>
        <v>0</v>
      </c>
      <c r="AE40" s="104">
        <f>SUM(AE41:AE59)</f>
        <v>0</v>
      </c>
      <c r="AF40" s="104"/>
      <c r="AG40" s="104">
        <f>SUM(AG41:AG59)</f>
        <v>0</v>
      </c>
      <c r="AH40" s="104"/>
      <c r="AI40" s="104">
        <f>SUM(AI41:AI59)</f>
        <v>0</v>
      </c>
      <c r="AJ40" s="104">
        <f>SUM(AJ41:AJ59)</f>
        <v>0</v>
      </c>
      <c r="AK40" s="104">
        <f>SUM(AK41:AK59)</f>
        <v>0</v>
      </c>
      <c r="AL40" s="104"/>
      <c r="AM40" s="104"/>
      <c r="AN40" s="104">
        <f>SUM(AN41:AN59)</f>
        <v>676</v>
      </c>
      <c r="AO40" s="104"/>
      <c r="AP40" s="104">
        <f>SUM(AP41:AP59)</f>
        <v>0</v>
      </c>
      <c r="AQ40" s="104">
        <f>SUM(AQ41:AQ59)</f>
        <v>676</v>
      </c>
      <c r="AR40" s="104"/>
      <c r="AS40" s="104">
        <f>SUM(AS41:AS59)</f>
        <v>0</v>
      </c>
      <c r="AT40" s="104"/>
      <c r="AU40" s="104">
        <f>SUM(AU41:AU59)</f>
        <v>0</v>
      </c>
      <c r="AV40" s="104">
        <f>SUM(AV41:AV59)</f>
        <v>0</v>
      </c>
      <c r="AW40" s="104">
        <f>SUM(AW41:AW59)</f>
        <v>676</v>
      </c>
      <c r="AX40" s="105"/>
      <c r="AY40" s="105"/>
      <c r="AZ40" s="104"/>
      <c r="BA40" s="104"/>
      <c r="BB40" s="104">
        <f>SUM(BB41:BB59)</f>
        <v>0</v>
      </c>
      <c r="BC40" s="104">
        <f>SUM(BC41:BC59)</f>
        <v>0</v>
      </c>
      <c r="BD40" s="104">
        <f>SUM(BD41:BD59)</f>
        <v>593.27</v>
      </c>
      <c r="BE40" s="104"/>
      <c r="BF40" s="104"/>
      <c r="BG40" s="104">
        <f>SUM(BG41:BG59)</f>
        <v>0</v>
      </c>
      <c r="BH40" s="104">
        <f>SUM(BH41:BH59)</f>
        <v>0</v>
      </c>
      <c r="BI40" s="104">
        <f>SUM(BI41:BI59)</f>
        <v>0</v>
      </c>
      <c r="BJ40" s="104">
        <f>SUM(BJ41:BJ59)</f>
        <v>0</v>
      </c>
      <c r="BK40" s="104">
        <f>SUM(BK41:BK59)</f>
        <v>593.27</v>
      </c>
      <c r="BL40" s="106"/>
      <c r="BM40" s="104">
        <f>SUM(BM41:BM59)</f>
        <v>-581.73</v>
      </c>
      <c r="BN40" s="104"/>
    </row>
    <row r="41" spans="1:70" x14ac:dyDescent="0.2">
      <c r="A41" s="59" t="s">
        <v>107</v>
      </c>
      <c r="B41" s="68">
        <v>1</v>
      </c>
      <c r="C41" s="59" t="s">
        <v>60</v>
      </c>
      <c r="D41" s="71">
        <v>1436.3619491767392</v>
      </c>
      <c r="E41" s="71">
        <v>764.63805082326076</v>
      </c>
      <c r="F41" s="71">
        <v>2201</v>
      </c>
      <c r="G41" s="111">
        <f t="shared" ref="G41:G59" si="46">F41/47378</f>
        <v>4.6456161087424543E-2</v>
      </c>
      <c r="H41" s="58">
        <f t="shared" ref="H41:H59" si="47">G41*2892</f>
        <v>134.35121786483177</v>
      </c>
      <c r="I41" s="112">
        <v>134</v>
      </c>
      <c r="J41" s="58">
        <f t="shared" ref="J41:J59" si="48">G41*1670</f>
        <v>77.581789015998993</v>
      </c>
      <c r="K41" s="112">
        <v>78</v>
      </c>
      <c r="L41" s="105"/>
      <c r="M41" s="113">
        <f>920+1800+400+680+680+880</f>
        <v>5360</v>
      </c>
      <c r="N41" s="114">
        <f t="shared" si="21"/>
        <v>134</v>
      </c>
      <c r="O41" s="114">
        <f>920+1800+400+680+680+880</f>
        <v>5360</v>
      </c>
      <c r="P41" s="114"/>
      <c r="Q41" s="114">
        <f t="shared" si="9"/>
        <v>134</v>
      </c>
      <c r="R41" s="114"/>
      <c r="S41" s="114">
        <f t="shared" ref="S41:S56" si="49">R41/40</f>
        <v>0</v>
      </c>
      <c r="T41" s="114">
        <f>920+1800+400+680+680+880</f>
        <v>5360</v>
      </c>
      <c r="U41" s="114">
        <v>100</v>
      </c>
      <c r="V41" s="114">
        <f t="shared" ref="V41:V59" si="50">S41+U41</f>
        <v>100</v>
      </c>
      <c r="W41" s="114">
        <f t="shared" si="11"/>
        <v>234</v>
      </c>
      <c r="Z41" s="105"/>
      <c r="AA41" s="113"/>
      <c r="AB41" s="115">
        <f t="shared" ref="AB41:AB56" si="51">AA41/40</f>
        <v>0</v>
      </c>
      <c r="AC41" s="115">
        <f>920+1800+400+680+680+880</f>
        <v>5360</v>
      </c>
      <c r="AD41" s="115"/>
      <c r="AE41" s="115">
        <f t="shared" ref="AE41:AE59" si="52">AB41+AD41</f>
        <v>0</v>
      </c>
      <c r="AF41" s="115"/>
      <c r="AG41" s="115">
        <f t="shared" ref="AG41:AG56" si="53">AF41/40</f>
        <v>0</v>
      </c>
      <c r="AH41" s="115">
        <f>920+1800+400+680+680+880</f>
        <v>5360</v>
      </c>
      <c r="AI41" s="115"/>
      <c r="AJ41" s="115">
        <f t="shared" ref="AJ41:AJ59" si="54">AG41+AI41</f>
        <v>0</v>
      </c>
      <c r="AK41" s="115">
        <f t="shared" ref="AK41:AK59" si="55">AJ41+AE41</f>
        <v>0</v>
      </c>
      <c r="AL41" s="105"/>
      <c r="AM41" s="105">
        <f>675+360+900+630+225+270+135+315</f>
        <v>3510</v>
      </c>
      <c r="AN41" s="116">
        <f t="shared" si="15"/>
        <v>234</v>
      </c>
      <c r="AO41" s="116"/>
      <c r="AP41" s="116"/>
      <c r="AQ41" s="116">
        <f t="shared" ref="AQ41:AQ59" si="56">AN41+AP41</f>
        <v>234</v>
      </c>
      <c r="AR41" s="105"/>
      <c r="AS41" s="116">
        <f t="shared" ref="AS41:AS56" si="57">AR41/40</f>
        <v>0</v>
      </c>
      <c r="AT41" s="116"/>
      <c r="AU41" s="116"/>
      <c r="AV41" s="116">
        <f t="shared" ref="AV41:AV59" si="58">AS41+AU41</f>
        <v>0</v>
      </c>
      <c r="AW41" s="116">
        <f t="shared" ref="AW41:AW59" si="59">AV41+AQ41</f>
        <v>234</v>
      </c>
      <c r="AX41" s="105"/>
      <c r="AY41" s="105"/>
      <c r="AZ41" s="105"/>
      <c r="BA41" s="117"/>
      <c r="BB41" s="117"/>
      <c r="BC41" s="117"/>
      <c r="BD41" s="117">
        <f t="shared" ref="BD41:BD59" si="60">N41+BB41+BC41</f>
        <v>134</v>
      </c>
      <c r="BE41" s="117"/>
      <c r="BF41" s="105"/>
      <c r="BG41" s="117">
        <f t="shared" ref="BG41:BG56" si="61">BF41/40</f>
        <v>0</v>
      </c>
      <c r="BH41" s="117"/>
      <c r="BI41" s="117"/>
      <c r="BJ41" s="117">
        <f t="shared" ref="BJ41:BJ59" si="62">BG41+BH41+BI41</f>
        <v>0</v>
      </c>
      <c r="BK41" s="117">
        <f t="shared" si="20"/>
        <v>134</v>
      </c>
      <c r="BL41" s="66" t="s">
        <v>88</v>
      </c>
      <c r="BM41" s="118">
        <f t="shared" ref="BM41:BM59" si="63">BD41-I41</f>
        <v>0</v>
      </c>
      <c r="BN41" s="119" t="s">
        <v>101</v>
      </c>
    </row>
    <row r="42" spans="1:70" x14ac:dyDescent="0.2">
      <c r="B42" s="68">
        <v>2</v>
      </c>
      <c r="C42" s="59" t="s">
        <v>61</v>
      </c>
      <c r="D42" s="71">
        <v>21.929190063767013</v>
      </c>
      <c r="E42" s="71">
        <v>61.07080993623299</v>
      </c>
      <c r="F42" s="71">
        <v>83</v>
      </c>
      <c r="G42" s="111">
        <f t="shared" si="46"/>
        <v>1.7518679555912026E-3</v>
      </c>
      <c r="H42" s="58">
        <f t="shared" si="47"/>
        <v>5.0664021275697575</v>
      </c>
      <c r="I42" s="112">
        <v>5</v>
      </c>
      <c r="J42" s="58">
        <f t="shared" si="48"/>
        <v>2.9256194858373084</v>
      </c>
      <c r="K42" s="112">
        <v>3</v>
      </c>
      <c r="L42" s="105"/>
      <c r="M42" s="113"/>
      <c r="N42" s="114">
        <f t="shared" si="21"/>
        <v>0</v>
      </c>
      <c r="O42" s="114"/>
      <c r="P42" s="114"/>
      <c r="Q42" s="114">
        <f t="shared" si="9"/>
        <v>0</v>
      </c>
      <c r="R42" s="114"/>
      <c r="S42" s="114">
        <f t="shared" si="49"/>
        <v>0</v>
      </c>
      <c r="T42" s="114"/>
      <c r="U42" s="114"/>
      <c r="V42" s="114">
        <f t="shared" si="50"/>
        <v>0</v>
      </c>
      <c r="W42" s="114">
        <f t="shared" si="11"/>
        <v>0</v>
      </c>
      <c r="Z42" s="105"/>
      <c r="AA42" s="113"/>
      <c r="AB42" s="115">
        <f t="shared" si="51"/>
        <v>0</v>
      </c>
      <c r="AC42" s="115"/>
      <c r="AD42" s="115"/>
      <c r="AE42" s="115">
        <f t="shared" si="52"/>
        <v>0</v>
      </c>
      <c r="AF42" s="115"/>
      <c r="AG42" s="115">
        <f t="shared" si="53"/>
        <v>0</v>
      </c>
      <c r="AH42" s="115"/>
      <c r="AI42" s="115"/>
      <c r="AJ42" s="115">
        <f t="shared" si="54"/>
        <v>0</v>
      </c>
      <c r="AK42" s="115">
        <f t="shared" si="55"/>
        <v>0</v>
      </c>
      <c r="AL42" s="105"/>
      <c r="AM42" s="105"/>
      <c r="AN42" s="116">
        <f t="shared" si="15"/>
        <v>0</v>
      </c>
      <c r="AO42" s="116"/>
      <c r="AP42" s="116"/>
      <c r="AQ42" s="116">
        <f t="shared" si="56"/>
        <v>0</v>
      </c>
      <c r="AR42" s="105"/>
      <c r="AS42" s="116">
        <f t="shared" si="57"/>
        <v>0</v>
      </c>
      <c r="AT42" s="116"/>
      <c r="AU42" s="116"/>
      <c r="AV42" s="116">
        <f t="shared" si="58"/>
        <v>0</v>
      </c>
      <c r="AW42" s="116">
        <f t="shared" si="59"/>
        <v>0</v>
      </c>
      <c r="AX42" s="105"/>
      <c r="AY42" s="105"/>
      <c r="AZ42" s="105"/>
      <c r="BA42" s="117"/>
      <c r="BB42" s="117"/>
      <c r="BC42" s="117"/>
      <c r="BD42" s="117">
        <f t="shared" si="60"/>
        <v>0</v>
      </c>
      <c r="BE42" s="117"/>
      <c r="BF42" s="105"/>
      <c r="BG42" s="117">
        <f t="shared" si="61"/>
        <v>0</v>
      </c>
      <c r="BH42" s="117"/>
      <c r="BI42" s="117"/>
      <c r="BJ42" s="117">
        <f t="shared" si="62"/>
        <v>0</v>
      </c>
      <c r="BK42" s="117">
        <f t="shared" si="20"/>
        <v>0</v>
      </c>
      <c r="BM42" s="118">
        <f t="shared" si="63"/>
        <v>-5</v>
      </c>
      <c r="BN42" s="119"/>
    </row>
    <row r="43" spans="1:70" x14ac:dyDescent="0.2">
      <c r="B43" s="68">
        <v>3</v>
      </c>
      <c r="C43" s="59" t="s">
        <v>62</v>
      </c>
      <c r="D43" s="71">
        <v>165.56538498144096</v>
      </c>
      <c r="E43" s="71">
        <v>813.43461501855904</v>
      </c>
      <c r="F43" s="71">
        <v>979</v>
      </c>
      <c r="G43" s="111">
        <f t="shared" si="46"/>
        <v>2.0663599138840812E-2</v>
      </c>
      <c r="H43" s="58">
        <f t="shared" si="47"/>
        <v>59.75912870952763</v>
      </c>
      <c r="I43" s="112">
        <v>60</v>
      </c>
      <c r="J43" s="58">
        <f t="shared" si="48"/>
        <v>34.508210561864153</v>
      </c>
      <c r="K43" s="112">
        <v>35</v>
      </c>
      <c r="L43" s="105"/>
      <c r="M43" s="113"/>
      <c r="N43" s="114">
        <f t="shared" si="21"/>
        <v>0</v>
      </c>
      <c r="O43" s="114"/>
      <c r="P43" s="114"/>
      <c r="Q43" s="114">
        <f t="shared" si="9"/>
        <v>0</v>
      </c>
      <c r="R43" s="114"/>
      <c r="S43" s="114">
        <f t="shared" si="49"/>
        <v>0</v>
      </c>
      <c r="T43" s="114"/>
      <c r="U43" s="114"/>
      <c r="V43" s="114">
        <f t="shared" si="50"/>
        <v>0</v>
      </c>
      <c r="W43" s="114">
        <f t="shared" si="11"/>
        <v>0</v>
      </c>
      <c r="Z43" s="105"/>
      <c r="AA43" s="113"/>
      <c r="AB43" s="115">
        <f t="shared" si="51"/>
        <v>0</v>
      </c>
      <c r="AC43" s="115"/>
      <c r="AD43" s="115"/>
      <c r="AE43" s="115">
        <f t="shared" si="52"/>
        <v>0</v>
      </c>
      <c r="AF43" s="115"/>
      <c r="AG43" s="115">
        <f t="shared" si="53"/>
        <v>0</v>
      </c>
      <c r="AH43" s="115"/>
      <c r="AI43" s="115"/>
      <c r="AJ43" s="115">
        <f t="shared" si="54"/>
        <v>0</v>
      </c>
      <c r="AK43" s="115">
        <f t="shared" si="55"/>
        <v>0</v>
      </c>
      <c r="AL43" s="105"/>
      <c r="AM43" s="105"/>
      <c r="AN43" s="116">
        <f t="shared" si="15"/>
        <v>0</v>
      </c>
      <c r="AO43" s="116"/>
      <c r="AP43" s="116"/>
      <c r="AQ43" s="116">
        <f t="shared" si="56"/>
        <v>0</v>
      </c>
      <c r="AR43" s="105"/>
      <c r="AS43" s="116">
        <f t="shared" si="57"/>
        <v>0</v>
      </c>
      <c r="AT43" s="116"/>
      <c r="AU43" s="116"/>
      <c r="AV43" s="116">
        <f t="shared" si="58"/>
        <v>0</v>
      </c>
      <c r="AW43" s="116">
        <f t="shared" si="59"/>
        <v>0</v>
      </c>
      <c r="AX43" s="105"/>
      <c r="AY43" s="105"/>
      <c r="AZ43" s="105"/>
      <c r="BA43" s="117"/>
      <c r="BB43" s="117"/>
      <c r="BC43" s="117"/>
      <c r="BD43" s="117">
        <f t="shared" si="60"/>
        <v>0</v>
      </c>
      <c r="BE43" s="117"/>
      <c r="BF43" s="105"/>
      <c r="BG43" s="117">
        <f t="shared" si="61"/>
        <v>0</v>
      </c>
      <c r="BH43" s="117"/>
      <c r="BI43" s="117"/>
      <c r="BJ43" s="117">
        <f t="shared" si="62"/>
        <v>0</v>
      </c>
      <c r="BK43" s="117">
        <f t="shared" si="20"/>
        <v>0</v>
      </c>
      <c r="BM43" s="118">
        <f t="shared" si="63"/>
        <v>-60</v>
      </c>
      <c r="BN43" s="119"/>
    </row>
    <row r="44" spans="1:70" s="132" customFormat="1" x14ac:dyDescent="0.2">
      <c r="A44" s="59"/>
      <c r="B44" s="68">
        <v>4</v>
      </c>
      <c r="C44" s="59" t="s">
        <v>63</v>
      </c>
      <c r="D44" s="71">
        <v>811.92826211097361</v>
      </c>
      <c r="E44" s="71">
        <v>109.57173788902639</v>
      </c>
      <c r="F44" s="71">
        <v>921.5</v>
      </c>
      <c r="G44" s="111">
        <f t="shared" si="46"/>
        <v>1.9449955675630039E-2</v>
      </c>
      <c r="H44" s="58">
        <f t="shared" si="47"/>
        <v>56.249271813922071</v>
      </c>
      <c r="I44" s="112">
        <v>56</v>
      </c>
      <c r="J44" s="58">
        <f t="shared" si="48"/>
        <v>32.481425978302163</v>
      </c>
      <c r="K44" s="112">
        <v>32</v>
      </c>
      <c r="L44" s="105"/>
      <c r="M44" s="113"/>
      <c r="N44" s="114">
        <f t="shared" si="21"/>
        <v>0</v>
      </c>
      <c r="O44" s="114"/>
      <c r="P44" s="114"/>
      <c r="Q44" s="114">
        <f t="shared" si="9"/>
        <v>0</v>
      </c>
      <c r="R44" s="114"/>
      <c r="S44" s="114">
        <f t="shared" si="49"/>
        <v>0</v>
      </c>
      <c r="T44" s="114"/>
      <c r="U44" s="114"/>
      <c r="V44" s="114">
        <f t="shared" si="50"/>
        <v>0</v>
      </c>
      <c r="W44" s="114">
        <f t="shared" si="11"/>
        <v>0</v>
      </c>
      <c r="X44" s="161"/>
      <c r="Y44" s="161"/>
      <c r="Z44" s="105"/>
      <c r="AA44" s="113"/>
      <c r="AB44" s="115">
        <f t="shared" si="51"/>
        <v>0</v>
      </c>
      <c r="AC44" s="115"/>
      <c r="AD44" s="115"/>
      <c r="AE44" s="115">
        <f t="shared" si="52"/>
        <v>0</v>
      </c>
      <c r="AF44" s="115"/>
      <c r="AG44" s="115">
        <f t="shared" si="53"/>
        <v>0</v>
      </c>
      <c r="AH44" s="115"/>
      <c r="AI44" s="115"/>
      <c r="AJ44" s="115">
        <f t="shared" si="54"/>
        <v>0</v>
      </c>
      <c r="AK44" s="115">
        <f t="shared" si="55"/>
        <v>0</v>
      </c>
      <c r="AL44" s="105"/>
      <c r="AM44" s="105"/>
      <c r="AN44" s="116">
        <f t="shared" si="15"/>
        <v>0</v>
      </c>
      <c r="AO44" s="116"/>
      <c r="AP44" s="116"/>
      <c r="AQ44" s="116">
        <f t="shared" si="56"/>
        <v>0</v>
      </c>
      <c r="AR44" s="105"/>
      <c r="AS44" s="116">
        <f t="shared" si="57"/>
        <v>0</v>
      </c>
      <c r="AT44" s="116"/>
      <c r="AU44" s="116"/>
      <c r="AV44" s="116">
        <f t="shared" si="58"/>
        <v>0</v>
      </c>
      <c r="AW44" s="116">
        <f t="shared" si="59"/>
        <v>0</v>
      </c>
      <c r="AX44" s="105"/>
      <c r="AY44" s="105"/>
      <c r="AZ44" s="105"/>
      <c r="BA44" s="117"/>
      <c r="BB44" s="117"/>
      <c r="BC44" s="117"/>
      <c r="BD44" s="117">
        <f t="shared" si="60"/>
        <v>0</v>
      </c>
      <c r="BE44" s="117"/>
      <c r="BF44" s="105"/>
      <c r="BG44" s="117">
        <f t="shared" si="61"/>
        <v>0</v>
      </c>
      <c r="BH44" s="117"/>
      <c r="BI44" s="117"/>
      <c r="BJ44" s="117">
        <f t="shared" si="62"/>
        <v>0</v>
      </c>
      <c r="BK44" s="117">
        <f t="shared" si="20"/>
        <v>0</v>
      </c>
      <c r="BL44" s="66"/>
      <c r="BM44" s="118">
        <f t="shared" si="63"/>
        <v>-56</v>
      </c>
      <c r="BN44" s="119"/>
      <c r="BO44" s="59"/>
      <c r="BP44" s="59"/>
      <c r="BQ44" s="59"/>
      <c r="BR44" s="59"/>
    </row>
    <row r="45" spans="1:70" s="132" customFormat="1" x14ac:dyDescent="0.2">
      <c r="A45" s="59"/>
      <c r="B45" s="68">
        <v>5</v>
      </c>
      <c r="C45" s="59" t="s">
        <v>64</v>
      </c>
      <c r="D45" s="71">
        <v>1485.7026268202151</v>
      </c>
      <c r="E45" s="71">
        <v>181.29737317978493</v>
      </c>
      <c r="F45" s="71">
        <v>1667</v>
      </c>
      <c r="G45" s="111">
        <f t="shared" si="46"/>
        <v>3.5185107011693188E-2</v>
      </c>
      <c r="H45" s="58">
        <f t="shared" si="47"/>
        <v>101.7553294778167</v>
      </c>
      <c r="I45" s="112">
        <v>102</v>
      </c>
      <c r="J45" s="58">
        <f t="shared" si="48"/>
        <v>58.759128709527623</v>
      </c>
      <c r="K45" s="112">
        <v>59</v>
      </c>
      <c r="L45" s="105"/>
      <c r="M45" s="113"/>
      <c r="N45" s="114">
        <f t="shared" si="21"/>
        <v>0</v>
      </c>
      <c r="O45" s="114"/>
      <c r="P45" s="114"/>
      <c r="Q45" s="114">
        <f t="shared" si="9"/>
        <v>0</v>
      </c>
      <c r="R45" s="114"/>
      <c r="S45" s="114">
        <f t="shared" si="49"/>
        <v>0</v>
      </c>
      <c r="T45" s="114"/>
      <c r="U45" s="114"/>
      <c r="V45" s="114">
        <f t="shared" si="50"/>
        <v>0</v>
      </c>
      <c r="W45" s="114">
        <f t="shared" si="11"/>
        <v>0</v>
      </c>
      <c r="X45" s="161"/>
      <c r="Y45" s="161"/>
      <c r="Z45" s="105"/>
      <c r="AA45" s="113"/>
      <c r="AB45" s="115">
        <f t="shared" si="51"/>
        <v>0</v>
      </c>
      <c r="AC45" s="115"/>
      <c r="AD45" s="115"/>
      <c r="AE45" s="115">
        <f t="shared" si="52"/>
        <v>0</v>
      </c>
      <c r="AF45" s="115"/>
      <c r="AG45" s="115">
        <f t="shared" si="53"/>
        <v>0</v>
      </c>
      <c r="AH45" s="115"/>
      <c r="AI45" s="115"/>
      <c r="AJ45" s="115">
        <f t="shared" si="54"/>
        <v>0</v>
      </c>
      <c r="AK45" s="115">
        <f t="shared" si="55"/>
        <v>0</v>
      </c>
      <c r="AL45" s="105"/>
      <c r="AM45" s="105"/>
      <c r="AN45" s="116">
        <f t="shared" si="15"/>
        <v>0</v>
      </c>
      <c r="AO45" s="116"/>
      <c r="AP45" s="116"/>
      <c r="AQ45" s="116">
        <f t="shared" si="56"/>
        <v>0</v>
      </c>
      <c r="AR45" s="105"/>
      <c r="AS45" s="116">
        <f t="shared" si="57"/>
        <v>0</v>
      </c>
      <c r="AT45" s="116"/>
      <c r="AU45" s="116"/>
      <c r="AV45" s="116">
        <f t="shared" si="58"/>
        <v>0</v>
      </c>
      <c r="AW45" s="116">
        <f t="shared" si="59"/>
        <v>0</v>
      </c>
      <c r="AX45" s="105"/>
      <c r="AY45" s="105"/>
      <c r="AZ45" s="105"/>
      <c r="BA45" s="117"/>
      <c r="BB45" s="117"/>
      <c r="BC45" s="117"/>
      <c r="BD45" s="117">
        <f t="shared" si="60"/>
        <v>0</v>
      </c>
      <c r="BE45" s="117"/>
      <c r="BF45" s="105"/>
      <c r="BG45" s="117">
        <f t="shared" si="61"/>
        <v>0</v>
      </c>
      <c r="BH45" s="117"/>
      <c r="BI45" s="117"/>
      <c r="BJ45" s="117">
        <f t="shared" si="62"/>
        <v>0</v>
      </c>
      <c r="BK45" s="117">
        <f t="shared" si="20"/>
        <v>0</v>
      </c>
      <c r="BL45" s="66"/>
      <c r="BM45" s="118">
        <f t="shared" si="63"/>
        <v>-102</v>
      </c>
      <c r="BN45" s="119"/>
      <c r="BO45" s="59"/>
      <c r="BP45" s="59"/>
      <c r="BQ45" s="59"/>
      <c r="BR45" s="59"/>
    </row>
    <row r="46" spans="1:70" s="132" customFormat="1" x14ac:dyDescent="0.2">
      <c r="A46" s="59"/>
      <c r="B46" s="68">
        <v>6</v>
      </c>
      <c r="C46" s="59" t="s">
        <v>65</v>
      </c>
      <c r="D46" s="71">
        <v>803.70481583706101</v>
      </c>
      <c r="E46" s="71">
        <v>2082.2951841629392</v>
      </c>
      <c r="F46" s="71">
        <v>2886</v>
      </c>
      <c r="G46" s="111">
        <f t="shared" si="46"/>
        <v>6.0914348431761578E-2</v>
      </c>
      <c r="H46" s="58">
        <f t="shared" si="47"/>
        <v>176.16429566465447</v>
      </c>
      <c r="I46" s="112">
        <v>175</v>
      </c>
      <c r="J46" s="58">
        <f t="shared" si="48"/>
        <v>101.72696188104183</v>
      </c>
      <c r="K46" s="112">
        <v>102</v>
      </c>
      <c r="L46" s="105"/>
      <c r="M46" s="113"/>
      <c r="N46" s="114">
        <f t="shared" si="21"/>
        <v>0</v>
      </c>
      <c r="O46" s="114"/>
      <c r="P46" s="114"/>
      <c r="Q46" s="114">
        <f t="shared" si="9"/>
        <v>0</v>
      </c>
      <c r="R46" s="114"/>
      <c r="S46" s="114">
        <f t="shared" si="49"/>
        <v>0</v>
      </c>
      <c r="T46" s="114"/>
      <c r="U46" s="114"/>
      <c r="V46" s="114">
        <f t="shared" si="50"/>
        <v>0</v>
      </c>
      <c r="W46" s="114">
        <f t="shared" si="11"/>
        <v>0</v>
      </c>
      <c r="X46" s="161"/>
      <c r="Y46" s="161"/>
      <c r="Z46" s="105"/>
      <c r="AA46" s="113"/>
      <c r="AB46" s="115">
        <f t="shared" si="51"/>
        <v>0</v>
      </c>
      <c r="AC46" s="115"/>
      <c r="AD46" s="115"/>
      <c r="AE46" s="115">
        <f t="shared" si="52"/>
        <v>0</v>
      </c>
      <c r="AF46" s="115"/>
      <c r="AG46" s="115">
        <f t="shared" si="53"/>
        <v>0</v>
      </c>
      <c r="AH46" s="115"/>
      <c r="AI46" s="115"/>
      <c r="AJ46" s="115">
        <f t="shared" si="54"/>
        <v>0</v>
      </c>
      <c r="AK46" s="115">
        <f t="shared" si="55"/>
        <v>0</v>
      </c>
      <c r="AL46" s="105"/>
      <c r="AM46" s="105"/>
      <c r="AN46" s="116">
        <f t="shared" si="15"/>
        <v>0</v>
      </c>
      <c r="AO46" s="116"/>
      <c r="AP46" s="116"/>
      <c r="AQ46" s="116">
        <f t="shared" si="56"/>
        <v>0</v>
      </c>
      <c r="AR46" s="105"/>
      <c r="AS46" s="116">
        <f t="shared" si="57"/>
        <v>0</v>
      </c>
      <c r="AT46" s="116"/>
      <c r="AU46" s="116"/>
      <c r="AV46" s="116">
        <f t="shared" si="58"/>
        <v>0</v>
      </c>
      <c r="AW46" s="116">
        <f t="shared" si="59"/>
        <v>0</v>
      </c>
      <c r="AX46" s="105"/>
      <c r="AY46" s="105"/>
      <c r="AZ46" s="105"/>
      <c r="BA46" s="117"/>
      <c r="BB46" s="117"/>
      <c r="BC46" s="117"/>
      <c r="BD46" s="117">
        <f t="shared" si="60"/>
        <v>0</v>
      </c>
      <c r="BE46" s="117"/>
      <c r="BF46" s="105"/>
      <c r="BG46" s="117">
        <f t="shared" si="61"/>
        <v>0</v>
      </c>
      <c r="BH46" s="117"/>
      <c r="BI46" s="117"/>
      <c r="BJ46" s="117">
        <f t="shared" si="62"/>
        <v>0</v>
      </c>
      <c r="BK46" s="117">
        <f t="shared" si="20"/>
        <v>0</v>
      </c>
      <c r="BL46" s="66"/>
      <c r="BM46" s="118">
        <f t="shared" si="63"/>
        <v>-175</v>
      </c>
      <c r="BN46" s="119"/>
      <c r="BO46" s="59"/>
      <c r="BP46" s="59"/>
      <c r="BQ46" s="59"/>
      <c r="BR46" s="59"/>
    </row>
    <row r="47" spans="1:70" s="132" customFormat="1" x14ac:dyDescent="0.2">
      <c r="A47" s="59"/>
      <c r="B47" s="68">
        <v>7</v>
      </c>
      <c r="C47" s="59" t="s">
        <v>66</v>
      </c>
      <c r="D47" s="71">
        <v>200.65208908346816</v>
      </c>
      <c r="E47" s="71">
        <v>126.34791091653184</v>
      </c>
      <c r="F47" s="71">
        <v>327</v>
      </c>
      <c r="G47" s="111">
        <f t="shared" si="46"/>
        <v>6.9019376081725699E-3</v>
      </c>
      <c r="H47" s="58">
        <f t="shared" si="47"/>
        <v>19.960403562835072</v>
      </c>
      <c r="I47" s="112">
        <v>20</v>
      </c>
      <c r="J47" s="58">
        <f t="shared" si="48"/>
        <v>11.526235805648192</v>
      </c>
      <c r="K47" s="112">
        <v>12</v>
      </c>
      <c r="L47" s="105"/>
      <c r="M47" s="113">
        <v>800</v>
      </c>
      <c r="N47" s="114">
        <f t="shared" si="21"/>
        <v>20</v>
      </c>
      <c r="O47" s="114">
        <v>800</v>
      </c>
      <c r="P47" s="114"/>
      <c r="Q47" s="114">
        <f t="shared" si="9"/>
        <v>20</v>
      </c>
      <c r="R47" s="114"/>
      <c r="S47" s="114">
        <f t="shared" si="49"/>
        <v>0</v>
      </c>
      <c r="T47" s="114">
        <v>800</v>
      </c>
      <c r="U47" s="114"/>
      <c r="V47" s="114">
        <f t="shared" si="50"/>
        <v>0</v>
      </c>
      <c r="W47" s="114">
        <f t="shared" si="11"/>
        <v>20</v>
      </c>
      <c r="X47" s="161" t="s">
        <v>88</v>
      </c>
      <c r="Y47" s="161"/>
      <c r="Z47" s="105"/>
      <c r="AA47" s="113"/>
      <c r="AB47" s="115">
        <f t="shared" si="51"/>
        <v>0</v>
      </c>
      <c r="AC47" s="115">
        <v>800</v>
      </c>
      <c r="AD47" s="115"/>
      <c r="AE47" s="115">
        <f t="shared" si="52"/>
        <v>0</v>
      </c>
      <c r="AF47" s="115"/>
      <c r="AG47" s="115">
        <f t="shared" si="53"/>
        <v>0</v>
      </c>
      <c r="AH47" s="115">
        <v>800</v>
      </c>
      <c r="AI47" s="115"/>
      <c r="AJ47" s="115">
        <f t="shared" si="54"/>
        <v>0</v>
      </c>
      <c r="AK47" s="115">
        <f t="shared" si="55"/>
        <v>0</v>
      </c>
      <c r="AL47" s="105"/>
      <c r="AM47" s="105">
        <v>180</v>
      </c>
      <c r="AN47" s="116">
        <f t="shared" si="15"/>
        <v>12</v>
      </c>
      <c r="AO47" s="116"/>
      <c r="AP47" s="116"/>
      <c r="AQ47" s="116">
        <f t="shared" si="56"/>
        <v>12</v>
      </c>
      <c r="AR47" s="105"/>
      <c r="AS47" s="116">
        <f t="shared" si="57"/>
        <v>0</v>
      </c>
      <c r="AT47" s="116"/>
      <c r="AU47" s="116"/>
      <c r="AV47" s="116">
        <f t="shared" si="58"/>
        <v>0</v>
      </c>
      <c r="AW47" s="116">
        <f t="shared" si="59"/>
        <v>12</v>
      </c>
      <c r="AX47" s="105"/>
      <c r="AY47" s="105"/>
      <c r="AZ47" s="105"/>
      <c r="BA47" s="117"/>
      <c r="BB47" s="117"/>
      <c r="BC47" s="117"/>
      <c r="BD47" s="117">
        <f t="shared" si="60"/>
        <v>20</v>
      </c>
      <c r="BE47" s="117"/>
      <c r="BF47" s="105"/>
      <c r="BG47" s="117">
        <f t="shared" si="61"/>
        <v>0</v>
      </c>
      <c r="BH47" s="117"/>
      <c r="BI47" s="117"/>
      <c r="BJ47" s="117">
        <f t="shared" si="62"/>
        <v>0</v>
      </c>
      <c r="BK47" s="117">
        <f t="shared" si="20"/>
        <v>20</v>
      </c>
      <c r="BL47" s="66" t="s">
        <v>85</v>
      </c>
      <c r="BM47" s="118">
        <f t="shared" si="63"/>
        <v>0</v>
      </c>
      <c r="BN47" s="119" t="s">
        <v>92</v>
      </c>
      <c r="BO47" s="59"/>
      <c r="BP47" s="59"/>
      <c r="BQ47" s="59"/>
      <c r="BR47" s="59"/>
    </row>
    <row r="48" spans="1:70" s="132" customFormat="1" x14ac:dyDescent="0.2">
      <c r="A48" s="59"/>
      <c r="B48" s="68">
        <v>8</v>
      </c>
      <c r="C48" s="59" t="s">
        <v>67</v>
      </c>
      <c r="D48" s="71">
        <v>581.12353668982587</v>
      </c>
      <c r="E48" s="71">
        <v>198.87646331017413</v>
      </c>
      <c r="F48" s="71">
        <v>780</v>
      </c>
      <c r="G48" s="111">
        <f t="shared" si="46"/>
        <v>1.6463337413989615E-2</v>
      </c>
      <c r="H48" s="58">
        <f t="shared" si="47"/>
        <v>47.611971801257965</v>
      </c>
      <c r="I48" s="112">
        <v>48</v>
      </c>
      <c r="J48" s="58">
        <f t="shared" si="48"/>
        <v>27.493773481362656</v>
      </c>
      <c r="K48" s="112">
        <v>27</v>
      </c>
      <c r="L48" s="105"/>
      <c r="M48" s="113">
        <f>640+218+120+150+120+220+300+120+480</f>
        <v>2368</v>
      </c>
      <c r="N48" s="114">
        <f t="shared" si="21"/>
        <v>59.2</v>
      </c>
      <c r="O48" s="114">
        <f>640+218+120+150+120+220+300+120+480</f>
        <v>2368</v>
      </c>
      <c r="P48" s="114"/>
      <c r="Q48" s="114">
        <f t="shared" si="9"/>
        <v>59.2</v>
      </c>
      <c r="R48" s="114"/>
      <c r="S48" s="114">
        <f t="shared" si="49"/>
        <v>0</v>
      </c>
      <c r="T48" s="114">
        <f>640+218+120+150+120+220+300+120+480</f>
        <v>2368</v>
      </c>
      <c r="U48" s="114"/>
      <c r="V48" s="114">
        <f t="shared" si="50"/>
        <v>0</v>
      </c>
      <c r="W48" s="114">
        <f t="shared" si="11"/>
        <v>59.2</v>
      </c>
      <c r="X48" s="161"/>
      <c r="Y48" s="161"/>
      <c r="Z48" s="105"/>
      <c r="AA48" s="113"/>
      <c r="AB48" s="115">
        <f t="shared" si="51"/>
        <v>0</v>
      </c>
      <c r="AC48" s="115">
        <f>640+218+120+150+120+220+300+120+480</f>
        <v>2368</v>
      </c>
      <c r="AD48" s="115"/>
      <c r="AE48" s="115">
        <f t="shared" si="52"/>
        <v>0</v>
      </c>
      <c r="AF48" s="115"/>
      <c r="AG48" s="115">
        <f t="shared" si="53"/>
        <v>0</v>
      </c>
      <c r="AH48" s="115">
        <f>640+218+120+150+120+220+300+120+480</f>
        <v>2368</v>
      </c>
      <c r="AI48" s="115"/>
      <c r="AJ48" s="115">
        <f t="shared" si="54"/>
        <v>0</v>
      </c>
      <c r="AK48" s="115">
        <f t="shared" si="55"/>
        <v>0</v>
      </c>
      <c r="AL48" s="105"/>
      <c r="AM48" s="105"/>
      <c r="AN48" s="116">
        <f t="shared" si="15"/>
        <v>0</v>
      </c>
      <c r="AO48" s="116"/>
      <c r="AP48" s="116"/>
      <c r="AQ48" s="116">
        <f t="shared" si="56"/>
        <v>0</v>
      </c>
      <c r="AR48" s="105"/>
      <c r="AS48" s="116">
        <f t="shared" si="57"/>
        <v>0</v>
      </c>
      <c r="AT48" s="116"/>
      <c r="AU48" s="116"/>
      <c r="AV48" s="116">
        <f t="shared" si="58"/>
        <v>0</v>
      </c>
      <c r="AW48" s="116">
        <f t="shared" si="59"/>
        <v>0</v>
      </c>
      <c r="AX48" s="105"/>
      <c r="AY48" s="105"/>
      <c r="AZ48" s="105"/>
      <c r="BA48" s="117"/>
      <c r="BB48" s="117"/>
      <c r="BC48" s="117"/>
      <c r="BD48" s="117">
        <f t="shared" si="60"/>
        <v>59.2</v>
      </c>
      <c r="BE48" s="117"/>
      <c r="BF48" s="105"/>
      <c r="BG48" s="117">
        <f t="shared" si="61"/>
        <v>0</v>
      </c>
      <c r="BH48" s="117"/>
      <c r="BI48" s="117"/>
      <c r="BJ48" s="117">
        <f t="shared" si="62"/>
        <v>0</v>
      </c>
      <c r="BK48" s="117">
        <f t="shared" si="20"/>
        <v>59.2</v>
      </c>
      <c r="BL48" s="66"/>
      <c r="BM48" s="118">
        <f t="shared" si="63"/>
        <v>11.200000000000003</v>
      </c>
      <c r="BN48" s="119" t="s">
        <v>105</v>
      </c>
      <c r="BO48" s="59"/>
      <c r="BP48" s="59"/>
      <c r="BQ48" s="59"/>
      <c r="BR48" s="59"/>
    </row>
    <row r="49" spans="1:70" s="132" customFormat="1" x14ac:dyDescent="0.2">
      <c r="A49" s="59"/>
      <c r="B49" s="68">
        <v>9</v>
      </c>
      <c r="C49" s="59" t="s">
        <v>68</v>
      </c>
      <c r="D49" s="71">
        <v>578.38238793185496</v>
      </c>
      <c r="E49" s="71">
        <v>113.11761206814504</v>
      </c>
      <c r="F49" s="71">
        <v>691.5</v>
      </c>
      <c r="G49" s="111">
        <f t="shared" si="46"/>
        <v>1.4595381822786947E-2</v>
      </c>
      <c r="H49" s="58">
        <f t="shared" si="47"/>
        <v>42.209844231499851</v>
      </c>
      <c r="I49" s="112">
        <v>42</v>
      </c>
      <c r="J49" s="58">
        <f t="shared" si="48"/>
        <v>24.374287644054203</v>
      </c>
      <c r="K49" s="112">
        <v>24</v>
      </c>
      <c r="L49" s="105"/>
      <c r="M49" s="113">
        <f>480+280+280+280</f>
        <v>1320</v>
      </c>
      <c r="N49" s="114">
        <f t="shared" si="21"/>
        <v>33</v>
      </c>
      <c r="O49" s="114">
        <f>480+280+280+280</f>
        <v>1320</v>
      </c>
      <c r="P49" s="114"/>
      <c r="Q49" s="114">
        <f t="shared" si="9"/>
        <v>33</v>
      </c>
      <c r="R49" s="114"/>
      <c r="S49" s="114">
        <f t="shared" si="49"/>
        <v>0</v>
      </c>
      <c r="T49" s="114">
        <f>480+280+280+280</f>
        <v>1320</v>
      </c>
      <c r="U49" s="114"/>
      <c r="V49" s="114">
        <f t="shared" si="50"/>
        <v>0</v>
      </c>
      <c r="W49" s="114">
        <f t="shared" si="11"/>
        <v>33</v>
      </c>
      <c r="X49" s="161" t="s">
        <v>88</v>
      </c>
      <c r="Y49" s="161" t="s">
        <v>122</v>
      </c>
      <c r="Z49" s="105"/>
      <c r="AA49" s="113"/>
      <c r="AB49" s="115">
        <f t="shared" si="51"/>
        <v>0</v>
      </c>
      <c r="AC49" s="115">
        <f>480+280+280+280</f>
        <v>1320</v>
      </c>
      <c r="AD49" s="115"/>
      <c r="AE49" s="115">
        <f t="shared" si="52"/>
        <v>0</v>
      </c>
      <c r="AF49" s="115"/>
      <c r="AG49" s="115">
        <f t="shared" si="53"/>
        <v>0</v>
      </c>
      <c r="AH49" s="115">
        <f>480+280+280+280</f>
        <v>1320</v>
      </c>
      <c r="AI49" s="115"/>
      <c r="AJ49" s="115">
        <f t="shared" si="54"/>
        <v>0</v>
      </c>
      <c r="AK49" s="115">
        <f t="shared" si="55"/>
        <v>0</v>
      </c>
      <c r="AL49" s="105"/>
      <c r="AM49" s="105">
        <f>120+60+60</f>
        <v>240</v>
      </c>
      <c r="AN49" s="116">
        <f t="shared" si="15"/>
        <v>16</v>
      </c>
      <c r="AO49" s="116"/>
      <c r="AP49" s="116"/>
      <c r="AQ49" s="116">
        <f t="shared" si="56"/>
        <v>16</v>
      </c>
      <c r="AR49" s="105"/>
      <c r="AS49" s="116">
        <f t="shared" si="57"/>
        <v>0</v>
      </c>
      <c r="AT49" s="116"/>
      <c r="AU49" s="116"/>
      <c r="AV49" s="116">
        <f t="shared" si="58"/>
        <v>0</v>
      </c>
      <c r="AW49" s="116">
        <f t="shared" si="59"/>
        <v>16</v>
      </c>
      <c r="AX49" s="105"/>
      <c r="AY49" s="105"/>
      <c r="AZ49" s="105"/>
      <c r="BA49" s="117"/>
      <c r="BB49" s="117"/>
      <c r="BC49" s="117"/>
      <c r="BD49" s="117">
        <f t="shared" si="60"/>
        <v>33</v>
      </c>
      <c r="BE49" s="117"/>
      <c r="BF49" s="105"/>
      <c r="BG49" s="117">
        <f t="shared" si="61"/>
        <v>0</v>
      </c>
      <c r="BH49" s="117"/>
      <c r="BI49" s="117"/>
      <c r="BJ49" s="117">
        <f t="shared" si="62"/>
        <v>0</v>
      </c>
      <c r="BK49" s="117">
        <f t="shared" si="20"/>
        <v>33</v>
      </c>
      <c r="BL49" s="66" t="s">
        <v>85</v>
      </c>
      <c r="BM49" s="118">
        <f t="shared" si="63"/>
        <v>-9</v>
      </c>
      <c r="BN49" s="119" t="s">
        <v>94</v>
      </c>
      <c r="BO49" s="59"/>
      <c r="BP49" s="59"/>
      <c r="BQ49" s="59"/>
      <c r="BR49" s="59"/>
    </row>
    <row r="50" spans="1:70" s="133" customFormat="1" x14ac:dyDescent="0.2">
      <c r="A50" s="62"/>
      <c r="B50" s="72">
        <v>10</v>
      </c>
      <c r="C50" s="62" t="s">
        <v>69</v>
      </c>
      <c r="D50" s="128">
        <v>329.48608070809939</v>
      </c>
      <c r="E50" s="128">
        <v>525.01391929190061</v>
      </c>
      <c r="F50" s="128">
        <v>854.5</v>
      </c>
      <c r="G50" s="129">
        <f t="shared" si="46"/>
        <v>1.8035797205454007E-2</v>
      </c>
      <c r="H50" s="128">
        <f t="shared" si="47"/>
        <v>52.159525518172991</v>
      </c>
      <c r="I50" s="112">
        <v>52</v>
      </c>
      <c r="J50" s="130">
        <f t="shared" si="48"/>
        <v>30.119781333108193</v>
      </c>
      <c r="K50" s="112">
        <v>30</v>
      </c>
      <c r="L50" s="105"/>
      <c r="M50" s="113">
        <f>40+400+60+262.8</f>
        <v>762.8</v>
      </c>
      <c r="N50" s="114">
        <f t="shared" si="21"/>
        <v>19.07</v>
      </c>
      <c r="O50" s="114"/>
      <c r="P50" s="114"/>
      <c r="Q50" s="114">
        <f t="shared" si="9"/>
        <v>19.07</v>
      </c>
      <c r="R50" s="114"/>
      <c r="S50" s="114">
        <f t="shared" si="49"/>
        <v>0</v>
      </c>
      <c r="T50" s="114"/>
      <c r="U50" s="114"/>
      <c r="V50" s="114">
        <f t="shared" si="50"/>
        <v>0</v>
      </c>
      <c r="W50" s="114">
        <f t="shared" si="11"/>
        <v>19.07</v>
      </c>
      <c r="X50" s="161"/>
      <c r="Y50" s="161"/>
      <c r="Z50" s="105"/>
      <c r="AA50" s="113"/>
      <c r="AB50" s="115">
        <f t="shared" si="51"/>
        <v>0</v>
      </c>
      <c r="AC50" s="115"/>
      <c r="AD50" s="115"/>
      <c r="AE50" s="115">
        <f t="shared" si="52"/>
        <v>0</v>
      </c>
      <c r="AF50" s="115"/>
      <c r="AG50" s="115">
        <f t="shared" si="53"/>
        <v>0</v>
      </c>
      <c r="AH50" s="115"/>
      <c r="AI50" s="115"/>
      <c r="AJ50" s="115">
        <f t="shared" si="54"/>
        <v>0</v>
      </c>
      <c r="AK50" s="115">
        <f t="shared" si="55"/>
        <v>0</v>
      </c>
      <c r="AL50" s="105"/>
      <c r="AM50" s="105"/>
      <c r="AN50" s="116">
        <f t="shared" si="15"/>
        <v>0</v>
      </c>
      <c r="AO50" s="116"/>
      <c r="AP50" s="116"/>
      <c r="AQ50" s="116">
        <f t="shared" si="56"/>
        <v>0</v>
      </c>
      <c r="AR50" s="105"/>
      <c r="AS50" s="116">
        <f t="shared" si="57"/>
        <v>0</v>
      </c>
      <c r="AT50" s="116"/>
      <c r="AU50" s="116"/>
      <c r="AV50" s="116">
        <f t="shared" si="58"/>
        <v>0</v>
      </c>
      <c r="AW50" s="116">
        <f t="shared" si="59"/>
        <v>0</v>
      </c>
      <c r="AX50" s="105"/>
      <c r="AY50" s="105"/>
      <c r="AZ50" s="105"/>
      <c r="BA50" s="117"/>
      <c r="BB50" s="117"/>
      <c r="BC50" s="117"/>
      <c r="BD50" s="117">
        <f t="shared" si="60"/>
        <v>19.07</v>
      </c>
      <c r="BE50" s="117"/>
      <c r="BF50" s="105"/>
      <c r="BG50" s="117">
        <f t="shared" si="61"/>
        <v>0</v>
      </c>
      <c r="BH50" s="117"/>
      <c r="BI50" s="117"/>
      <c r="BJ50" s="117">
        <f t="shared" si="62"/>
        <v>0</v>
      </c>
      <c r="BK50" s="117">
        <f t="shared" si="20"/>
        <v>19.07</v>
      </c>
      <c r="BL50" s="131" t="s">
        <v>83</v>
      </c>
      <c r="BM50" s="118">
        <f t="shared" si="63"/>
        <v>-32.93</v>
      </c>
      <c r="BN50" s="119" t="s">
        <v>96</v>
      </c>
      <c r="BO50" s="120"/>
      <c r="BP50" s="120"/>
      <c r="BQ50" s="120"/>
      <c r="BR50" s="120"/>
    </row>
    <row r="51" spans="1:70" s="132" customFormat="1" x14ac:dyDescent="0.2">
      <c r="A51" s="59"/>
      <c r="B51" s="68">
        <v>11</v>
      </c>
      <c r="C51" s="59" t="s">
        <v>70</v>
      </c>
      <c r="D51" s="71">
        <v>393.08073189302371</v>
      </c>
      <c r="E51" s="71">
        <v>289.41926810697629</v>
      </c>
      <c r="F51" s="71">
        <v>682.5</v>
      </c>
      <c r="G51" s="111">
        <f t="shared" si="46"/>
        <v>1.4405420237240913E-2</v>
      </c>
      <c r="H51" s="58">
        <f t="shared" si="47"/>
        <v>41.660475326100723</v>
      </c>
      <c r="I51" s="112">
        <v>42</v>
      </c>
      <c r="J51" s="58">
        <f t="shared" si="48"/>
        <v>24.057051796192326</v>
      </c>
      <c r="K51" s="112">
        <v>24</v>
      </c>
      <c r="L51" s="105"/>
      <c r="M51" s="113">
        <f>280+200+200+200+280+400+120</f>
        <v>1680</v>
      </c>
      <c r="N51" s="114">
        <f t="shared" si="21"/>
        <v>42</v>
      </c>
      <c r="O51" s="114">
        <f>280+200+200+200+280+400+120</f>
        <v>1680</v>
      </c>
      <c r="P51" s="114"/>
      <c r="Q51" s="114">
        <f t="shared" si="9"/>
        <v>42</v>
      </c>
      <c r="R51" s="114"/>
      <c r="S51" s="114">
        <f t="shared" si="49"/>
        <v>0</v>
      </c>
      <c r="T51" s="114">
        <f>280+200+200+200+280+400+120</f>
        <v>1680</v>
      </c>
      <c r="U51" s="114"/>
      <c r="V51" s="114">
        <f t="shared" si="50"/>
        <v>0</v>
      </c>
      <c r="W51" s="114">
        <f t="shared" si="11"/>
        <v>42</v>
      </c>
      <c r="X51" s="161" t="s">
        <v>88</v>
      </c>
      <c r="Y51" s="161"/>
      <c r="Z51" s="105"/>
      <c r="AA51" s="113"/>
      <c r="AB51" s="115">
        <f t="shared" si="51"/>
        <v>0</v>
      </c>
      <c r="AC51" s="115">
        <f>280+200+200+200+280+400+120</f>
        <v>1680</v>
      </c>
      <c r="AD51" s="115"/>
      <c r="AE51" s="115">
        <f t="shared" si="52"/>
        <v>0</v>
      </c>
      <c r="AF51" s="115"/>
      <c r="AG51" s="115">
        <f t="shared" si="53"/>
        <v>0</v>
      </c>
      <c r="AH51" s="115">
        <f>280+200+200+200+280+400+120</f>
        <v>1680</v>
      </c>
      <c r="AI51" s="115"/>
      <c r="AJ51" s="115">
        <f t="shared" si="54"/>
        <v>0</v>
      </c>
      <c r="AK51" s="115">
        <f t="shared" si="55"/>
        <v>0</v>
      </c>
      <c r="AL51" s="105"/>
      <c r="AM51" s="105">
        <f>45+35+45+70+60+45+45</f>
        <v>345</v>
      </c>
      <c r="AN51" s="116">
        <f t="shared" si="15"/>
        <v>23</v>
      </c>
      <c r="AO51" s="116"/>
      <c r="AP51" s="116"/>
      <c r="AQ51" s="116">
        <f t="shared" si="56"/>
        <v>23</v>
      </c>
      <c r="AR51" s="105"/>
      <c r="AS51" s="116">
        <f t="shared" si="57"/>
        <v>0</v>
      </c>
      <c r="AT51" s="116"/>
      <c r="AU51" s="116"/>
      <c r="AV51" s="116">
        <f t="shared" si="58"/>
        <v>0</v>
      </c>
      <c r="AW51" s="116">
        <f t="shared" si="59"/>
        <v>23</v>
      </c>
      <c r="AX51" s="105"/>
      <c r="AY51" s="105"/>
      <c r="AZ51" s="105"/>
      <c r="BA51" s="117"/>
      <c r="BB51" s="117"/>
      <c r="BC51" s="117"/>
      <c r="BD51" s="117">
        <f t="shared" si="60"/>
        <v>42</v>
      </c>
      <c r="BE51" s="117"/>
      <c r="BF51" s="105"/>
      <c r="BG51" s="117">
        <f t="shared" si="61"/>
        <v>0</v>
      </c>
      <c r="BH51" s="117"/>
      <c r="BI51" s="117"/>
      <c r="BJ51" s="117">
        <f t="shared" si="62"/>
        <v>0</v>
      </c>
      <c r="BK51" s="117">
        <f t="shared" si="20"/>
        <v>42</v>
      </c>
      <c r="BL51" s="66" t="s">
        <v>85</v>
      </c>
      <c r="BM51" s="118">
        <f t="shared" si="63"/>
        <v>0</v>
      </c>
      <c r="BN51" s="119" t="s">
        <v>94</v>
      </c>
      <c r="BO51" s="59"/>
      <c r="BP51" s="59"/>
      <c r="BQ51" s="59"/>
      <c r="BR51" s="59"/>
    </row>
    <row r="52" spans="1:70" s="132" customFormat="1" x14ac:dyDescent="0.2">
      <c r="A52" s="59"/>
      <c r="B52" s="68">
        <v>12</v>
      </c>
      <c r="C52" s="59" t="s">
        <v>71</v>
      </c>
      <c r="D52" s="71">
        <v>37.279623108403925</v>
      </c>
      <c r="E52" s="71">
        <v>46.720376891596075</v>
      </c>
      <c r="F52" s="71">
        <v>84</v>
      </c>
      <c r="G52" s="111">
        <f t="shared" si="46"/>
        <v>1.7729747984296508E-3</v>
      </c>
      <c r="H52" s="58">
        <f t="shared" si="47"/>
        <v>5.1274431170585499</v>
      </c>
      <c r="I52" s="112">
        <v>5</v>
      </c>
      <c r="J52" s="58">
        <f t="shared" si="48"/>
        <v>2.9608679133775166</v>
      </c>
      <c r="K52" s="112">
        <v>3</v>
      </c>
      <c r="L52" s="105"/>
      <c r="M52" s="113"/>
      <c r="N52" s="114">
        <f t="shared" si="21"/>
        <v>0</v>
      </c>
      <c r="O52" s="114"/>
      <c r="P52" s="114"/>
      <c r="Q52" s="114">
        <f t="shared" si="9"/>
        <v>0</v>
      </c>
      <c r="R52" s="114"/>
      <c r="S52" s="114">
        <f t="shared" si="49"/>
        <v>0</v>
      </c>
      <c r="T52" s="114"/>
      <c r="U52" s="114"/>
      <c r="V52" s="114">
        <f t="shared" si="50"/>
        <v>0</v>
      </c>
      <c r="W52" s="114">
        <f t="shared" si="11"/>
        <v>0</v>
      </c>
      <c r="X52" s="161" t="s">
        <v>122</v>
      </c>
      <c r="Y52" s="161"/>
      <c r="Z52" s="105"/>
      <c r="AA52" s="113"/>
      <c r="AB52" s="115">
        <f t="shared" si="51"/>
        <v>0</v>
      </c>
      <c r="AC52" s="115"/>
      <c r="AD52" s="115"/>
      <c r="AE52" s="115">
        <f t="shared" si="52"/>
        <v>0</v>
      </c>
      <c r="AF52" s="115"/>
      <c r="AG52" s="115">
        <f t="shared" si="53"/>
        <v>0</v>
      </c>
      <c r="AH52" s="115"/>
      <c r="AI52" s="115"/>
      <c r="AJ52" s="115">
        <f t="shared" si="54"/>
        <v>0</v>
      </c>
      <c r="AK52" s="115">
        <f t="shared" si="55"/>
        <v>0</v>
      </c>
      <c r="AL52" s="105"/>
      <c r="AM52" s="105">
        <f>450+105+180+90+90+240</f>
        <v>1155</v>
      </c>
      <c r="AN52" s="116">
        <f t="shared" si="15"/>
        <v>77</v>
      </c>
      <c r="AO52" s="116"/>
      <c r="AP52" s="116"/>
      <c r="AQ52" s="116">
        <f t="shared" si="56"/>
        <v>77</v>
      </c>
      <c r="AR52" s="105"/>
      <c r="AS52" s="116">
        <f t="shared" si="57"/>
        <v>0</v>
      </c>
      <c r="AT52" s="116"/>
      <c r="AU52" s="116"/>
      <c r="AV52" s="116">
        <f t="shared" si="58"/>
        <v>0</v>
      </c>
      <c r="AW52" s="116">
        <f t="shared" si="59"/>
        <v>77</v>
      </c>
      <c r="AX52" s="105"/>
      <c r="AY52" s="105"/>
      <c r="AZ52" s="105"/>
      <c r="BA52" s="117"/>
      <c r="BB52" s="117"/>
      <c r="BC52" s="117"/>
      <c r="BD52" s="117">
        <f t="shared" si="60"/>
        <v>0</v>
      </c>
      <c r="BE52" s="117"/>
      <c r="BF52" s="105"/>
      <c r="BG52" s="117">
        <f t="shared" si="61"/>
        <v>0</v>
      </c>
      <c r="BH52" s="117"/>
      <c r="BI52" s="117"/>
      <c r="BJ52" s="117">
        <f t="shared" si="62"/>
        <v>0</v>
      </c>
      <c r="BK52" s="117">
        <f t="shared" si="20"/>
        <v>0</v>
      </c>
      <c r="BL52" s="66" t="s">
        <v>123</v>
      </c>
      <c r="BM52" s="118">
        <f t="shared" si="63"/>
        <v>-5</v>
      </c>
      <c r="BN52" s="119" t="s">
        <v>98</v>
      </c>
      <c r="BO52" s="59"/>
      <c r="BP52" s="59"/>
      <c r="BQ52" s="59"/>
      <c r="BR52" s="59"/>
    </row>
    <row r="53" spans="1:70" s="132" customFormat="1" x14ac:dyDescent="0.2">
      <c r="A53" s="59"/>
      <c r="B53" s="68">
        <v>13</v>
      </c>
      <c r="C53" s="59" t="s">
        <v>72</v>
      </c>
      <c r="D53" s="71">
        <v>66.884029694489385</v>
      </c>
      <c r="E53" s="71">
        <v>63.115970305510615</v>
      </c>
      <c r="F53" s="71">
        <v>130</v>
      </c>
      <c r="G53" s="111">
        <f t="shared" si="46"/>
        <v>2.7438895689982693E-3</v>
      </c>
      <c r="H53" s="58">
        <f t="shared" si="47"/>
        <v>7.9353286335429951</v>
      </c>
      <c r="I53" s="112">
        <v>8</v>
      </c>
      <c r="J53" s="58">
        <f t="shared" si="48"/>
        <v>4.5822955802271101</v>
      </c>
      <c r="K53" s="112">
        <v>5</v>
      </c>
      <c r="L53" s="105"/>
      <c r="M53" s="113"/>
      <c r="N53" s="114">
        <f t="shared" si="21"/>
        <v>0</v>
      </c>
      <c r="O53" s="114"/>
      <c r="P53" s="114"/>
      <c r="Q53" s="114">
        <f t="shared" si="9"/>
        <v>0</v>
      </c>
      <c r="R53" s="114"/>
      <c r="S53" s="114">
        <f t="shared" si="49"/>
        <v>0</v>
      </c>
      <c r="T53" s="114"/>
      <c r="U53" s="114"/>
      <c r="V53" s="114">
        <f t="shared" si="50"/>
        <v>0</v>
      </c>
      <c r="W53" s="114">
        <f t="shared" si="11"/>
        <v>0</v>
      </c>
      <c r="X53" s="161"/>
      <c r="Y53" s="161"/>
      <c r="Z53" s="105"/>
      <c r="AA53" s="113"/>
      <c r="AB53" s="115">
        <f t="shared" si="51"/>
        <v>0</v>
      </c>
      <c r="AC53" s="115"/>
      <c r="AD53" s="115"/>
      <c r="AE53" s="115">
        <f t="shared" si="52"/>
        <v>0</v>
      </c>
      <c r="AF53" s="115"/>
      <c r="AG53" s="115">
        <f t="shared" si="53"/>
        <v>0</v>
      </c>
      <c r="AH53" s="115"/>
      <c r="AI53" s="115"/>
      <c r="AJ53" s="115">
        <f t="shared" si="54"/>
        <v>0</v>
      </c>
      <c r="AK53" s="115">
        <f t="shared" si="55"/>
        <v>0</v>
      </c>
      <c r="AL53" s="105"/>
      <c r="AM53" s="105"/>
      <c r="AN53" s="116">
        <f t="shared" si="15"/>
        <v>0</v>
      </c>
      <c r="AO53" s="116"/>
      <c r="AP53" s="116"/>
      <c r="AQ53" s="116">
        <f t="shared" si="56"/>
        <v>0</v>
      </c>
      <c r="AR53" s="105"/>
      <c r="AS53" s="116">
        <f t="shared" si="57"/>
        <v>0</v>
      </c>
      <c r="AT53" s="116"/>
      <c r="AU53" s="116"/>
      <c r="AV53" s="116">
        <f t="shared" si="58"/>
        <v>0</v>
      </c>
      <c r="AW53" s="116">
        <f t="shared" si="59"/>
        <v>0</v>
      </c>
      <c r="AX53" s="105"/>
      <c r="AY53" s="105"/>
      <c r="AZ53" s="105"/>
      <c r="BA53" s="117"/>
      <c r="BB53" s="117"/>
      <c r="BC53" s="117"/>
      <c r="BD53" s="117">
        <f t="shared" si="60"/>
        <v>0</v>
      </c>
      <c r="BE53" s="117"/>
      <c r="BF53" s="105"/>
      <c r="BG53" s="117">
        <f t="shared" si="61"/>
        <v>0</v>
      </c>
      <c r="BH53" s="117"/>
      <c r="BI53" s="117"/>
      <c r="BJ53" s="117">
        <f t="shared" si="62"/>
        <v>0</v>
      </c>
      <c r="BK53" s="117">
        <f t="shared" si="20"/>
        <v>0</v>
      </c>
      <c r="BL53" s="66"/>
      <c r="BM53" s="118">
        <f t="shared" si="63"/>
        <v>-8</v>
      </c>
      <c r="BN53" s="119"/>
      <c r="BO53" s="59"/>
      <c r="BP53" s="59"/>
      <c r="BQ53" s="59"/>
      <c r="BR53" s="59"/>
    </row>
    <row r="54" spans="1:70" s="132" customFormat="1" x14ac:dyDescent="0.2">
      <c r="A54" s="59"/>
      <c r="B54" s="68">
        <v>14</v>
      </c>
      <c r="C54" s="59" t="s">
        <v>73</v>
      </c>
      <c r="D54" s="71">
        <v>131.57514038260206</v>
      </c>
      <c r="E54" s="71">
        <v>293.42485961739794</v>
      </c>
      <c r="F54" s="71">
        <v>425</v>
      </c>
      <c r="G54" s="111">
        <f t="shared" si="46"/>
        <v>8.9704082063404959E-3</v>
      </c>
      <c r="H54" s="58">
        <f t="shared" si="47"/>
        <v>25.942420532736715</v>
      </c>
      <c r="I54" s="112">
        <v>26</v>
      </c>
      <c r="J54" s="58">
        <f t="shared" si="48"/>
        <v>14.980581704588628</v>
      </c>
      <c r="K54" s="112">
        <v>15</v>
      </c>
      <c r="L54" s="105"/>
      <c r="M54" s="113"/>
      <c r="N54" s="114">
        <f t="shared" si="21"/>
        <v>0</v>
      </c>
      <c r="O54" s="114"/>
      <c r="P54" s="114"/>
      <c r="Q54" s="114">
        <f t="shared" si="9"/>
        <v>0</v>
      </c>
      <c r="R54" s="114"/>
      <c r="S54" s="114">
        <f t="shared" si="49"/>
        <v>0</v>
      </c>
      <c r="T54" s="114"/>
      <c r="U54" s="114"/>
      <c r="V54" s="114">
        <f t="shared" si="50"/>
        <v>0</v>
      </c>
      <c r="W54" s="114">
        <f t="shared" si="11"/>
        <v>0</v>
      </c>
      <c r="X54" s="161"/>
      <c r="Y54" s="161"/>
      <c r="Z54" s="105"/>
      <c r="AA54" s="113"/>
      <c r="AB54" s="115">
        <f t="shared" si="51"/>
        <v>0</v>
      </c>
      <c r="AC54" s="115"/>
      <c r="AD54" s="115"/>
      <c r="AE54" s="115">
        <f t="shared" si="52"/>
        <v>0</v>
      </c>
      <c r="AF54" s="115"/>
      <c r="AG54" s="115">
        <f t="shared" si="53"/>
        <v>0</v>
      </c>
      <c r="AH54" s="115"/>
      <c r="AI54" s="115"/>
      <c r="AJ54" s="115">
        <f t="shared" si="54"/>
        <v>0</v>
      </c>
      <c r="AK54" s="115">
        <f t="shared" si="55"/>
        <v>0</v>
      </c>
      <c r="AL54" s="105"/>
      <c r="AM54" s="105"/>
      <c r="AN54" s="116">
        <f t="shared" si="15"/>
        <v>0</v>
      </c>
      <c r="AO54" s="116"/>
      <c r="AP54" s="116"/>
      <c r="AQ54" s="116">
        <f t="shared" si="56"/>
        <v>0</v>
      </c>
      <c r="AR54" s="105"/>
      <c r="AS54" s="116">
        <f t="shared" si="57"/>
        <v>0</v>
      </c>
      <c r="AT54" s="116"/>
      <c r="AU54" s="116"/>
      <c r="AV54" s="116">
        <f t="shared" si="58"/>
        <v>0</v>
      </c>
      <c r="AW54" s="116">
        <f t="shared" si="59"/>
        <v>0</v>
      </c>
      <c r="AX54" s="105"/>
      <c r="AY54" s="105"/>
      <c r="AZ54" s="105"/>
      <c r="BA54" s="117"/>
      <c r="BB54" s="117"/>
      <c r="BC54" s="117"/>
      <c r="BD54" s="117">
        <f t="shared" si="60"/>
        <v>0</v>
      </c>
      <c r="BE54" s="117"/>
      <c r="BF54" s="105"/>
      <c r="BG54" s="117">
        <f t="shared" si="61"/>
        <v>0</v>
      </c>
      <c r="BH54" s="117"/>
      <c r="BI54" s="117"/>
      <c r="BJ54" s="117">
        <f t="shared" si="62"/>
        <v>0</v>
      </c>
      <c r="BK54" s="117">
        <f t="shared" si="20"/>
        <v>0</v>
      </c>
      <c r="BL54" s="66" t="s">
        <v>88</v>
      </c>
      <c r="BM54" s="118">
        <f t="shared" si="63"/>
        <v>-26</v>
      </c>
      <c r="BN54" s="119" t="s">
        <v>99</v>
      </c>
      <c r="BO54" s="59"/>
      <c r="BP54" s="59"/>
      <c r="BQ54" s="59"/>
      <c r="BR54" s="59"/>
    </row>
    <row r="55" spans="1:70" s="132" customFormat="1" x14ac:dyDescent="0.2">
      <c r="A55" s="59"/>
      <c r="B55" s="68">
        <v>15</v>
      </c>
      <c r="C55" s="59" t="s">
        <v>74</v>
      </c>
      <c r="D55" s="71">
        <v>124.4481536118778</v>
      </c>
      <c r="E55" s="71">
        <v>1011.0518463881222</v>
      </c>
      <c r="F55" s="71">
        <v>1135.5</v>
      </c>
      <c r="G55" s="111">
        <f t="shared" si="46"/>
        <v>2.396682004305796E-2</v>
      </c>
      <c r="H55" s="58">
        <f t="shared" si="47"/>
        <v>69.31204356452362</v>
      </c>
      <c r="I55" s="112">
        <v>70</v>
      </c>
      <c r="J55" s="58">
        <f t="shared" si="48"/>
        <v>40.024589471906793</v>
      </c>
      <c r="K55" s="112">
        <v>40</v>
      </c>
      <c r="L55" s="105"/>
      <c r="M55" s="113"/>
      <c r="N55" s="114">
        <f t="shared" si="21"/>
        <v>0</v>
      </c>
      <c r="O55" s="114"/>
      <c r="P55" s="114"/>
      <c r="Q55" s="114">
        <f t="shared" si="9"/>
        <v>0</v>
      </c>
      <c r="R55" s="114"/>
      <c r="S55" s="114">
        <f t="shared" si="49"/>
        <v>0</v>
      </c>
      <c r="T55" s="114"/>
      <c r="U55" s="114"/>
      <c r="V55" s="114">
        <f t="shared" si="50"/>
        <v>0</v>
      </c>
      <c r="W55" s="114">
        <f t="shared" si="11"/>
        <v>0</v>
      </c>
      <c r="X55" s="161"/>
      <c r="Y55" s="161"/>
      <c r="Z55" s="105"/>
      <c r="AA55" s="113"/>
      <c r="AB55" s="115">
        <f t="shared" si="51"/>
        <v>0</v>
      </c>
      <c r="AC55" s="115"/>
      <c r="AD55" s="115"/>
      <c r="AE55" s="115">
        <f t="shared" si="52"/>
        <v>0</v>
      </c>
      <c r="AF55" s="115"/>
      <c r="AG55" s="115">
        <f t="shared" si="53"/>
        <v>0</v>
      </c>
      <c r="AH55" s="115"/>
      <c r="AI55" s="115"/>
      <c r="AJ55" s="115">
        <f t="shared" si="54"/>
        <v>0</v>
      </c>
      <c r="AK55" s="115">
        <f t="shared" si="55"/>
        <v>0</v>
      </c>
      <c r="AL55" s="105"/>
      <c r="AM55" s="105"/>
      <c r="AN55" s="116">
        <f t="shared" si="15"/>
        <v>0</v>
      </c>
      <c r="AO55" s="116"/>
      <c r="AP55" s="116"/>
      <c r="AQ55" s="116">
        <f t="shared" si="56"/>
        <v>0</v>
      </c>
      <c r="AR55" s="105"/>
      <c r="AS55" s="116">
        <f t="shared" si="57"/>
        <v>0</v>
      </c>
      <c r="AT55" s="116"/>
      <c r="AU55" s="116"/>
      <c r="AV55" s="116">
        <f t="shared" si="58"/>
        <v>0</v>
      </c>
      <c r="AW55" s="116">
        <f t="shared" si="59"/>
        <v>0</v>
      </c>
      <c r="AX55" s="105"/>
      <c r="AY55" s="105"/>
      <c r="AZ55" s="105"/>
      <c r="BA55" s="117"/>
      <c r="BB55" s="117"/>
      <c r="BC55" s="117"/>
      <c r="BD55" s="117">
        <f t="shared" si="60"/>
        <v>0</v>
      </c>
      <c r="BE55" s="117"/>
      <c r="BF55" s="105"/>
      <c r="BG55" s="117">
        <f t="shared" si="61"/>
        <v>0</v>
      </c>
      <c r="BH55" s="117"/>
      <c r="BI55" s="117"/>
      <c r="BJ55" s="117">
        <f t="shared" si="62"/>
        <v>0</v>
      </c>
      <c r="BK55" s="117">
        <f t="shared" si="20"/>
        <v>0</v>
      </c>
      <c r="BL55" s="66"/>
      <c r="BM55" s="118">
        <f t="shared" si="63"/>
        <v>-70</v>
      </c>
      <c r="BN55" s="119"/>
      <c r="BO55" s="59"/>
      <c r="BP55" s="59"/>
      <c r="BQ55" s="59"/>
      <c r="BR55" s="59"/>
    </row>
    <row r="56" spans="1:70" s="132" customFormat="1" x14ac:dyDescent="0.2">
      <c r="A56" s="59" t="s">
        <v>107</v>
      </c>
      <c r="B56" s="68">
        <v>16</v>
      </c>
      <c r="C56" s="59" t="s">
        <v>75</v>
      </c>
      <c r="D56" s="71">
        <v>2680.8434852955174</v>
      </c>
      <c r="E56" s="71">
        <v>174.15651470448256</v>
      </c>
      <c r="F56" s="71">
        <v>2855</v>
      </c>
      <c r="G56" s="111">
        <f t="shared" si="46"/>
        <v>6.0260036303769679E-2</v>
      </c>
      <c r="H56" s="58">
        <f t="shared" si="47"/>
        <v>174.2720249905019</v>
      </c>
      <c r="I56" s="112">
        <v>174</v>
      </c>
      <c r="J56" s="58">
        <f t="shared" si="48"/>
        <v>100.63426062729536</v>
      </c>
      <c r="K56" s="112">
        <v>101</v>
      </c>
      <c r="L56" s="105"/>
      <c r="M56" s="113">
        <f>3680+3280</f>
        <v>6960</v>
      </c>
      <c r="N56" s="114">
        <f t="shared" si="21"/>
        <v>174</v>
      </c>
      <c r="O56" s="114">
        <f>3680+3280</f>
        <v>6960</v>
      </c>
      <c r="P56" s="114"/>
      <c r="Q56" s="114">
        <f t="shared" si="9"/>
        <v>174</v>
      </c>
      <c r="R56" s="114"/>
      <c r="S56" s="114">
        <f t="shared" si="49"/>
        <v>0</v>
      </c>
      <c r="T56" s="114">
        <f>3680+3280</f>
        <v>6960</v>
      </c>
      <c r="U56" s="114">
        <v>380</v>
      </c>
      <c r="V56" s="114">
        <f t="shared" si="50"/>
        <v>380</v>
      </c>
      <c r="W56" s="114">
        <f t="shared" si="11"/>
        <v>554</v>
      </c>
      <c r="X56" s="161" t="s">
        <v>88</v>
      </c>
      <c r="Y56" s="161"/>
      <c r="Z56" s="105"/>
      <c r="AA56" s="113"/>
      <c r="AB56" s="115">
        <f t="shared" si="51"/>
        <v>0</v>
      </c>
      <c r="AC56" s="115">
        <f>3680+3280</f>
        <v>6960</v>
      </c>
      <c r="AD56" s="115"/>
      <c r="AE56" s="115">
        <f t="shared" si="52"/>
        <v>0</v>
      </c>
      <c r="AF56" s="115"/>
      <c r="AG56" s="115">
        <f t="shared" si="53"/>
        <v>0</v>
      </c>
      <c r="AH56" s="115">
        <f>3680+3280</f>
        <v>6960</v>
      </c>
      <c r="AI56" s="115"/>
      <c r="AJ56" s="115">
        <f t="shared" si="54"/>
        <v>0</v>
      </c>
      <c r="AK56" s="115">
        <f t="shared" si="55"/>
        <v>0</v>
      </c>
      <c r="AL56" s="105"/>
      <c r="AM56" s="105">
        <f>4080</f>
        <v>4080</v>
      </c>
      <c r="AN56" s="116">
        <f t="shared" si="15"/>
        <v>272</v>
      </c>
      <c r="AO56" s="116"/>
      <c r="AP56" s="116"/>
      <c r="AQ56" s="116">
        <f t="shared" si="56"/>
        <v>272</v>
      </c>
      <c r="AR56" s="105"/>
      <c r="AS56" s="116">
        <f t="shared" si="57"/>
        <v>0</v>
      </c>
      <c r="AT56" s="116"/>
      <c r="AU56" s="116"/>
      <c r="AV56" s="116">
        <f t="shared" si="58"/>
        <v>0</v>
      </c>
      <c r="AW56" s="116">
        <f t="shared" si="59"/>
        <v>272</v>
      </c>
      <c r="AX56" s="105"/>
      <c r="AY56" s="105"/>
      <c r="AZ56" s="105"/>
      <c r="BA56" s="117"/>
      <c r="BB56" s="117"/>
      <c r="BC56" s="117"/>
      <c r="BD56" s="117">
        <f t="shared" si="60"/>
        <v>174</v>
      </c>
      <c r="BE56" s="117"/>
      <c r="BF56" s="105"/>
      <c r="BG56" s="117">
        <f t="shared" si="61"/>
        <v>0</v>
      </c>
      <c r="BH56" s="117"/>
      <c r="BI56" s="117"/>
      <c r="BJ56" s="117">
        <f t="shared" si="62"/>
        <v>0</v>
      </c>
      <c r="BK56" s="117">
        <f t="shared" si="20"/>
        <v>174</v>
      </c>
      <c r="BL56" s="66" t="s">
        <v>85</v>
      </c>
      <c r="BM56" s="118">
        <f t="shared" si="63"/>
        <v>0</v>
      </c>
      <c r="BN56" s="119" t="s">
        <v>102</v>
      </c>
      <c r="BO56" s="59"/>
      <c r="BP56" s="59"/>
      <c r="BQ56" s="59"/>
      <c r="BR56" s="59"/>
    </row>
    <row r="57" spans="1:70" s="132" customFormat="1" x14ac:dyDescent="0.2">
      <c r="A57" s="59"/>
      <c r="B57" s="68">
        <v>17</v>
      </c>
      <c r="C57" s="59" t="s">
        <v>76</v>
      </c>
      <c r="D57" s="71">
        <v>21.929190063767013</v>
      </c>
      <c r="E57" s="71">
        <v>536.07080993623299</v>
      </c>
      <c r="F57" s="71">
        <v>558</v>
      </c>
      <c r="G57" s="111">
        <f t="shared" si="46"/>
        <v>1.1777618303854109E-2</v>
      </c>
      <c r="H57" s="58">
        <f t="shared" si="47"/>
        <v>34.060872134746084</v>
      </c>
      <c r="I57" s="112">
        <v>34</v>
      </c>
      <c r="J57" s="58">
        <f t="shared" si="48"/>
        <v>19.668622567436362</v>
      </c>
      <c r="K57" s="112">
        <v>20</v>
      </c>
      <c r="L57" s="105"/>
      <c r="M57" s="113">
        <v>1600</v>
      </c>
      <c r="N57" s="114">
        <f t="shared" si="21"/>
        <v>40</v>
      </c>
      <c r="O57" s="114"/>
      <c r="P57" s="114"/>
      <c r="Q57" s="114">
        <f t="shared" si="9"/>
        <v>40</v>
      </c>
      <c r="R57" s="114"/>
      <c r="S57" s="114">
        <v>0</v>
      </c>
      <c r="T57" s="114"/>
      <c r="U57" s="114"/>
      <c r="V57" s="114">
        <f t="shared" si="50"/>
        <v>0</v>
      </c>
      <c r="W57" s="114">
        <f t="shared" si="11"/>
        <v>40</v>
      </c>
      <c r="X57" s="161"/>
      <c r="Y57" s="161"/>
      <c r="Z57" s="105"/>
      <c r="AA57" s="113"/>
      <c r="AB57" s="115">
        <v>0</v>
      </c>
      <c r="AC57" s="115"/>
      <c r="AD57" s="115"/>
      <c r="AE57" s="115">
        <f t="shared" si="52"/>
        <v>0</v>
      </c>
      <c r="AF57" s="115"/>
      <c r="AG57" s="115">
        <v>0</v>
      </c>
      <c r="AH57" s="115"/>
      <c r="AI57" s="115"/>
      <c r="AJ57" s="115">
        <f t="shared" si="54"/>
        <v>0</v>
      </c>
      <c r="AK57" s="115">
        <f t="shared" si="55"/>
        <v>0</v>
      </c>
      <c r="AL57" s="105"/>
      <c r="AM57" s="105"/>
      <c r="AN57" s="116">
        <f t="shared" si="15"/>
        <v>0</v>
      </c>
      <c r="AO57" s="116"/>
      <c r="AP57" s="116"/>
      <c r="AQ57" s="116">
        <f t="shared" si="56"/>
        <v>0</v>
      </c>
      <c r="AR57" s="105"/>
      <c r="AS57" s="116">
        <v>0</v>
      </c>
      <c r="AT57" s="116"/>
      <c r="AU57" s="116"/>
      <c r="AV57" s="116">
        <f t="shared" si="58"/>
        <v>0</v>
      </c>
      <c r="AW57" s="116">
        <f t="shared" si="59"/>
        <v>0</v>
      </c>
      <c r="AX57" s="105"/>
      <c r="AY57" s="105"/>
      <c r="AZ57" s="105"/>
      <c r="BA57" s="117"/>
      <c r="BB57" s="117"/>
      <c r="BC57" s="117"/>
      <c r="BD57" s="117">
        <f t="shared" si="60"/>
        <v>40</v>
      </c>
      <c r="BE57" s="117"/>
      <c r="BF57" s="105"/>
      <c r="BG57" s="117">
        <v>0</v>
      </c>
      <c r="BH57" s="117"/>
      <c r="BI57" s="117"/>
      <c r="BJ57" s="117">
        <f t="shared" si="62"/>
        <v>0</v>
      </c>
      <c r="BK57" s="117">
        <f t="shared" si="20"/>
        <v>40</v>
      </c>
      <c r="BL57" s="66"/>
      <c r="BM57" s="118">
        <f t="shared" si="63"/>
        <v>6</v>
      </c>
      <c r="BN57" s="119"/>
      <c r="BO57" s="59"/>
      <c r="BP57" s="59"/>
      <c r="BQ57" s="59"/>
      <c r="BR57" s="59"/>
    </row>
    <row r="58" spans="1:70" s="132" customFormat="1" x14ac:dyDescent="0.2">
      <c r="A58" s="59"/>
      <c r="B58" s="68">
        <v>18</v>
      </c>
      <c r="C58" s="59" t="s">
        <v>77</v>
      </c>
      <c r="D58" s="71">
        <v>840.98443894546494</v>
      </c>
      <c r="E58" s="71">
        <v>358.01556105453506</v>
      </c>
      <c r="F58" s="71">
        <v>1199</v>
      </c>
      <c r="G58" s="111">
        <f t="shared" si="46"/>
        <v>2.5307104563299421E-2</v>
      </c>
      <c r="H58" s="58">
        <f t="shared" si="47"/>
        <v>73.188146397061928</v>
      </c>
      <c r="I58" s="112">
        <v>73</v>
      </c>
      <c r="J58" s="58">
        <f t="shared" si="48"/>
        <v>42.262864620710033</v>
      </c>
      <c r="K58" s="112">
        <v>42</v>
      </c>
      <c r="L58" s="105"/>
      <c r="M58" s="113">
        <f>960+960+560+400</f>
        <v>2880</v>
      </c>
      <c r="N58" s="114">
        <f t="shared" si="21"/>
        <v>72</v>
      </c>
      <c r="O58" s="114">
        <f>960+960+560+400</f>
        <v>2880</v>
      </c>
      <c r="P58" s="114"/>
      <c r="Q58" s="114">
        <f t="shared" si="9"/>
        <v>72</v>
      </c>
      <c r="R58" s="114"/>
      <c r="S58" s="114">
        <f t="shared" ref="S58:S59" si="64">R58/40</f>
        <v>0</v>
      </c>
      <c r="T58" s="114">
        <f>960+960+560+400</f>
        <v>2880</v>
      </c>
      <c r="U58" s="114"/>
      <c r="V58" s="114">
        <f t="shared" si="50"/>
        <v>0</v>
      </c>
      <c r="W58" s="114">
        <f t="shared" si="11"/>
        <v>72</v>
      </c>
      <c r="X58" s="161" t="s">
        <v>122</v>
      </c>
      <c r="Y58" s="161"/>
      <c r="Z58" s="105"/>
      <c r="AA58" s="113"/>
      <c r="AB58" s="115">
        <f t="shared" ref="AB58:AB59" si="65">AA58/40</f>
        <v>0</v>
      </c>
      <c r="AC58" s="115">
        <f>960+960+560+400</f>
        <v>2880</v>
      </c>
      <c r="AD58" s="115"/>
      <c r="AE58" s="115">
        <f t="shared" si="52"/>
        <v>0</v>
      </c>
      <c r="AF58" s="115"/>
      <c r="AG58" s="115">
        <f t="shared" ref="AG58:AG59" si="66">AF58/40</f>
        <v>0</v>
      </c>
      <c r="AH58" s="115">
        <f>960+960+560+400</f>
        <v>2880</v>
      </c>
      <c r="AI58" s="115"/>
      <c r="AJ58" s="115">
        <f t="shared" si="54"/>
        <v>0</v>
      </c>
      <c r="AK58" s="115">
        <f t="shared" si="55"/>
        <v>0</v>
      </c>
      <c r="AL58" s="105"/>
      <c r="AM58" s="105">
        <f>75+135+210+150+60</f>
        <v>630</v>
      </c>
      <c r="AN58" s="116">
        <f t="shared" si="15"/>
        <v>42</v>
      </c>
      <c r="AO58" s="116"/>
      <c r="AP58" s="116"/>
      <c r="AQ58" s="116">
        <f t="shared" si="56"/>
        <v>42</v>
      </c>
      <c r="AR58" s="105"/>
      <c r="AS58" s="116">
        <f t="shared" ref="AS58:AS59" si="67">AR58/40</f>
        <v>0</v>
      </c>
      <c r="AT58" s="116"/>
      <c r="AU58" s="116"/>
      <c r="AV58" s="116">
        <f t="shared" si="58"/>
        <v>0</v>
      </c>
      <c r="AW58" s="116">
        <f t="shared" si="59"/>
        <v>42</v>
      </c>
      <c r="AX58" s="105"/>
      <c r="AY58" s="105"/>
      <c r="AZ58" s="105"/>
      <c r="BA58" s="117"/>
      <c r="BB58" s="117"/>
      <c r="BC58" s="117"/>
      <c r="BD58" s="117">
        <f t="shared" si="60"/>
        <v>72</v>
      </c>
      <c r="BE58" s="117"/>
      <c r="BF58" s="105"/>
      <c r="BG58" s="117">
        <f t="shared" ref="BG58:BG59" si="68">BF58/40</f>
        <v>0</v>
      </c>
      <c r="BH58" s="117"/>
      <c r="BI58" s="117"/>
      <c r="BJ58" s="117">
        <f t="shared" si="62"/>
        <v>0</v>
      </c>
      <c r="BK58" s="117">
        <f t="shared" si="20"/>
        <v>72</v>
      </c>
      <c r="BL58" s="66" t="s">
        <v>85</v>
      </c>
      <c r="BM58" s="118">
        <f t="shared" si="63"/>
        <v>-1</v>
      </c>
      <c r="BN58" s="119" t="s">
        <v>94</v>
      </c>
      <c r="BO58" s="59"/>
      <c r="BP58" s="59"/>
      <c r="BQ58" s="59"/>
      <c r="BR58" s="59"/>
    </row>
    <row r="59" spans="1:70" s="132" customFormat="1" x14ac:dyDescent="0.2">
      <c r="A59" s="59"/>
      <c r="B59" s="68">
        <v>19</v>
      </c>
      <c r="C59" s="59" t="s">
        <v>78</v>
      </c>
      <c r="D59" s="71">
        <v>494.50323593794616</v>
      </c>
      <c r="E59" s="71">
        <v>302.49676406205384</v>
      </c>
      <c r="F59" s="71">
        <v>797</v>
      </c>
      <c r="G59" s="111">
        <f t="shared" si="46"/>
        <v>1.6822153742243235E-2</v>
      </c>
      <c r="H59" s="58">
        <f t="shared" si="47"/>
        <v>48.649668622567432</v>
      </c>
      <c r="I59" s="112">
        <v>49</v>
      </c>
      <c r="J59" s="58">
        <f t="shared" si="48"/>
        <v>28.092996749546202</v>
      </c>
      <c r="K59" s="112">
        <v>28</v>
      </c>
      <c r="L59" s="105"/>
      <c r="M59" s="113"/>
      <c r="N59" s="114">
        <f t="shared" si="21"/>
        <v>0</v>
      </c>
      <c r="O59" s="114"/>
      <c r="P59" s="114"/>
      <c r="Q59" s="114">
        <f t="shared" si="9"/>
        <v>0</v>
      </c>
      <c r="R59" s="114"/>
      <c r="S59" s="114">
        <f t="shared" si="64"/>
        <v>0</v>
      </c>
      <c r="T59" s="114"/>
      <c r="U59" s="114"/>
      <c r="V59" s="114">
        <f t="shared" si="50"/>
        <v>0</v>
      </c>
      <c r="W59" s="114">
        <f t="shared" si="11"/>
        <v>0</v>
      </c>
      <c r="X59" s="161"/>
      <c r="Y59" s="161"/>
      <c r="Z59" s="105"/>
      <c r="AA59" s="113"/>
      <c r="AB59" s="115">
        <f t="shared" si="65"/>
        <v>0</v>
      </c>
      <c r="AC59" s="115"/>
      <c r="AD59" s="115"/>
      <c r="AE59" s="115">
        <f t="shared" si="52"/>
        <v>0</v>
      </c>
      <c r="AF59" s="115"/>
      <c r="AG59" s="115">
        <f t="shared" si="66"/>
        <v>0</v>
      </c>
      <c r="AH59" s="115"/>
      <c r="AI59" s="115"/>
      <c r="AJ59" s="115">
        <f t="shared" si="54"/>
        <v>0</v>
      </c>
      <c r="AK59" s="115">
        <f t="shared" si="55"/>
        <v>0</v>
      </c>
      <c r="AL59" s="105"/>
      <c r="AM59" s="105"/>
      <c r="AN59" s="116">
        <f t="shared" si="15"/>
        <v>0</v>
      </c>
      <c r="AO59" s="116"/>
      <c r="AP59" s="116"/>
      <c r="AQ59" s="116">
        <f t="shared" si="56"/>
        <v>0</v>
      </c>
      <c r="AR59" s="105"/>
      <c r="AS59" s="116">
        <f t="shared" si="67"/>
        <v>0</v>
      </c>
      <c r="AT59" s="116"/>
      <c r="AU59" s="116"/>
      <c r="AV59" s="116">
        <f t="shared" si="58"/>
        <v>0</v>
      </c>
      <c r="AW59" s="116">
        <f t="shared" si="59"/>
        <v>0</v>
      </c>
      <c r="AX59" s="105"/>
      <c r="AY59" s="105"/>
      <c r="AZ59" s="105"/>
      <c r="BA59" s="117"/>
      <c r="BB59" s="117"/>
      <c r="BC59" s="117"/>
      <c r="BD59" s="117">
        <f t="shared" si="60"/>
        <v>0</v>
      </c>
      <c r="BE59" s="117"/>
      <c r="BF59" s="105"/>
      <c r="BG59" s="117">
        <f t="shared" si="68"/>
        <v>0</v>
      </c>
      <c r="BH59" s="117"/>
      <c r="BI59" s="117"/>
      <c r="BJ59" s="117">
        <f t="shared" si="62"/>
        <v>0</v>
      </c>
      <c r="BK59" s="117">
        <f t="shared" si="20"/>
        <v>0</v>
      </c>
      <c r="BL59" s="66"/>
      <c r="BM59" s="118">
        <f t="shared" si="63"/>
        <v>-49</v>
      </c>
      <c r="BN59" s="119"/>
      <c r="BO59" s="59"/>
      <c r="BP59" s="59"/>
      <c r="BQ59" s="59"/>
      <c r="BR59" s="59"/>
    </row>
    <row r="60" spans="1:70" s="134" customFormat="1" ht="13.15" customHeight="1" x14ac:dyDescent="0.25">
      <c r="G60" s="146"/>
      <c r="M60" s="69"/>
      <c r="O60" s="69"/>
      <c r="R60" s="69"/>
      <c r="T60" s="69"/>
      <c r="X60" s="167"/>
      <c r="Y60" s="167"/>
      <c r="AA60" s="69"/>
      <c r="AC60" s="69"/>
      <c r="AF60" s="69"/>
      <c r="AH60" s="69"/>
      <c r="AM60" s="69"/>
      <c r="AO60" s="69"/>
      <c r="AR60" s="69"/>
      <c r="AT60" s="69"/>
      <c r="BF60" s="69"/>
      <c r="BL60" s="147"/>
      <c r="BM60" s="147"/>
      <c r="BN60" s="147"/>
    </row>
    <row r="61" spans="1:70" s="134" customFormat="1" ht="13.15" customHeight="1" x14ac:dyDescent="0.25">
      <c r="G61" s="146"/>
      <c r="M61" s="69"/>
      <c r="O61" s="69"/>
      <c r="R61" s="69"/>
      <c r="T61" s="69"/>
      <c r="X61" s="167"/>
      <c r="Y61" s="167"/>
      <c r="AA61" s="69"/>
      <c r="AC61" s="69"/>
      <c r="AF61" s="69"/>
      <c r="AH61" s="69"/>
      <c r="AM61" s="69"/>
      <c r="AO61" s="69"/>
      <c r="AR61" s="69"/>
      <c r="AT61" s="69"/>
      <c r="BF61" s="69"/>
      <c r="BL61" s="147"/>
      <c r="BM61" s="147"/>
      <c r="BN61" s="147"/>
    </row>
    <row r="62" spans="1:70" s="134" customFormat="1" ht="13.15" customHeight="1" x14ac:dyDescent="0.25">
      <c r="G62" s="146"/>
      <c r="M62" s="69"/>
      <c r="O62" s="69"/>
      <c r="R62" s="69"/>
      <c r="T62" s="69"/>
      <c r="X62" s="167"/>
      <c r="Y62" s="167"/>
      <c r="AA62" s="69"/>
      <c r="AC62" s="69"/>
      <c r="AF62" s="69"/>
      <c r="AH62" s="69"/>
      <c r="AM62" s="69"/>
      <c r="AO62" s="69"/>
      <c r="AR62" s="69"/>
      <c r="AT62" s="69"/>
      <c r="BF62" s="69"/>
      <c r="BL62" s="147"/>
      <c r="BM62" s="147"/>
      <c r="BN62" s="147"/>
    </row>
    <row r="63" spans="1:70" s="134" customFormat="1" ht="13.15" customHeight="1" x14ac:dyDescent="0.25">
      <c r="G63" s="146"/>
      <c r="M63" s="69"/>
      <c r="O63" s="69"/>
      <c r="R63" s="69"/>
      <c r="T63" s="69"/>
      <c r="X63" s="167"/>
      <c r="Y63" s="167"/>
      <c r="AA63" s="69"/>
      <c r="AC63" s="69"/>
      <c r="AF63" s="69"/>
      <c r="AH63" s="69"/>
      <c r="AM63" s="69"/>
      <c r="AO63" s="69"/>
      <c r="AR63" s="69"/>
      <c r="AT63" s="69"/>
      <c r="BF63" s="69"/>
      <c r="BL63" s="147"/>
      <c r="BM63" s="147"/>
      <c r="BN63" s="147"/>
    </row>
    <row r="64" spans="1:70" s="134" customFormat="1" ht="13.15" customHeight="1" x14ac:dyDescent="0.25">
      <c r="G64" s="146"/>
      <c r="M64" s="69"/>
      <c r="O64" s="69"/>
      <c r="R64" s="69"/>
      <c r="T64" s="69"/>
      <c r="X64" s="167"/>
      <c r="Y64" s="167"/>
      <c r="AA64" s="69"/>
      <c r="AC64" s="69"/>
      <c r="AF64" s="69"/>
      <c r="AH64" s="69"/>
      <c r="AM64" s="69"/>
      <c r="AO64" s="69"/>
      <c r="AR64" s="69"/>
      <c r="AT64" s="69"/>
      <c r="BF64" s="69"/>
      <c r="BL64" s="147"/>
      <c r="BM64" s="147"/>
      <c r="BN64" s="147"/>
    </row>
    <row r="65" spans="7:66" s="134" customFormat="1" ht="13.15" customHeight="1" x14ac:dyDescent="0.25">
      <c r="G65" s="146"/>
      <c r="M65" s="69"/>
      <c r="O65" s="69"/>
      <c r="R65" s="69"/>
      <c r="T65" s="69"/>
      <c r="X65" s="167"/>
      <c r="Y65" s="167"/>
      <c r="AA65" s="69"/>
      <c r="AC65" s="69"/>
      <c r="AF65" s="69"/>
      <c r="AH65" s="69"/>
      <c r="AM65" s="69"/>
      <c r="AO65" s="69"/>
      <c r="AR65" s="69"/>
      <c r="AT65" s="69"/>
      <c r="BF65" s="69"/>
      <c r="BL65" s="147"/>
      <c r="BM65" s="147"/>
      <c r="BN65" s="147"/>
    </row>
    <row r="66" spans="7:66" s="134" customFormat="1" ht="13.15" customHeight="1" x14ac:dyDescent="0.25">
      <c r="G66" s="146"/>
      <c r="M66" s="69"/>
      <c r="O66" s="69"/>
      <c r="R66" s="69"/>
      <c r="T66" s="69"/>
      <c r="X66" s="167"/>
      <c r="Y66" s="167"/>
      <c r="AA66" s="69"/>
      <c r="AC66" s="69"/>
      <c r="AF66" s="69"/>
      <c r="AH66" s="69"/>
      <c r="AM66" s="69"/>
      <c r="AO66" s="69"/>
      <c r="AR66" s="69"/>
      <c r="AT66" s="69"/>
      <c r="BF66" s="69"/>
      <c r="BL66" s="147"/>
      <c r="BM66" s="147"/>
      <c r="BN66" s="147"/>
    </row>
    <row r="67" spans="7:66" s="134" customFormat="1" ht="13.15" customHeight="1" x14ac:dyDescent="0.25">
      <c r="G67" s="146"/>
      <c r="M67" s="69"/>
      <c r="O67" s="69"/>
      <c r="R67" s="69"/>
      <c r="T67" s="69"/>
      <c r="X67" s="167"/>
      <c r="Y67" s="167"/>
      <c r="AA67" s="69"/>
      <c r="AC67" s="69"/>
      <c r="AF67" s="69"/>
      <c r="AH67" s="69"/>
      <c r="AM67" s="69"/>
      <c r="AO67" s="69"/>
      <c r="AR67" s="69"/>
      <c r="AT67" s="69"/>
      <c r="BF67" s="69"/>
      <c r="BL67" s="147"/>
      <c r="BM67" s="147"/>
      <c r="BN67" s="147"/>
    </row>
    <row r="68" spans="7:66" s="134" customFormat="1" ht="13.15" customHeight="1" x14ac:dyDescent="0.25">
      <c r="G68" s="146"/>
      <c r="M68" s="69"/>
      <c r="O68" s="69"/>
      <c r="R68" s="69"/>
      <c r="T68" s="69"/>
      <c r="X68" s="167"/>
      <c r="Y68" s="167"/>
      <c r="AA68" s="69"/>
      <c r="AC68" s="69"/>
      <c r="AF68" s="69"/>
      <c r="AH68" s="69"/>
      <c r="AM68" s="69"/>
      <c r="AO68" s="69"/>
      <c r="AR68" s="69"/>
      <c r="AT68" s="69"/>
      <c r="BF68" s="69"/>
      <c r="BL68" s="147"/>
      <c r="BM68" s="147"/>
      <c r="BN68" s="147"/>
    </row>
    <row r="69" spans="7:66" s="134" customFormat="1" ht="13.15" customHeight="1" x14ac:dyDescent="0.25">
      <c r="G69" s="146"/>
      <c r="M69" s="69"/>
      <c r="O69" s="69"/>
      <c r="R69" s="69"/>
      <c r="T69" s="69"/>
      <c r="X69" s="167"/>
      <c r="Y69" s="167"/>
      <c r="AA69" s="69"/>
      <c r="AC69" s="69"/>
      <c r="AF69" s="69"/>
      <c r="AH69" s="69"/>
      <c r="AM69" s="69"/>
      <c r="AO69" s="69"/>
      <c r="AR69" s="69"/>
      <c r="AT69" s="69"/>
      <c r="BF69" s="69"/>
      <c r="BL69" s="147"/>
      <c r="BM69" s="147"/>
      <c r="BN69" s="147"/>
    </row>
    <row r="70" spans="7:66" s="134" customFormat="1" ht="13.15" customHeight="1" x14ac:dyDescent="0.25">
      <c r="G70" s="146"/>
      <c r="M70" s="69"/>
      <c r="O70" s="69"/>
      <c r="R70" s="69"/>
      <c r="T70" s="69"/>
      <c r="X70" s="167"/>
      <c r="Y70" s="167"/>
      <c r="AA70" s="69"/>
      <c r="AC70" s="69"/>
      <c r="AF70" s="69"/>
      <c r="AH70" s="69"/>
      <c r="AM70" s="69"/>
      <c r="AO70" s="69"/>
      <c r="AR70" s="69"/>
      <c r="AT70" s="69"/>
      <c r="BF70" s="69"/>
      <c r="BL70" s="147"/>
      <c r="BM70" s="147"/>
      <c r="BN70" s="147"/>
    </row>
    <row r="71" spans="7:66" s="134" customFormat="1" ht="13.15" customHeight="1" x14ac:dyDescent="0.25">
      <c r="G71" s="146"/>
      <c r="M71" s="69"/>
      <c r="O71" s="69"/>
      <c r="R71" s="69"/>
      <c r="T71" s="69"/>
      <c r="X71" s="167"/>
      <c r="Y71" s="167"/>
      <c r="AA71" s="69"/>
      <c r="AC71" s="69"/>
      <c r="AF71" s="69"/>
      <c r="AH71" s="69"/>
      <c r="AM71" s="69"/>
      <c r="AO71" s="69"/>
      <c r="AR71" s="69"/>
      <c r="AT71" s="69"/>
      <c r="BF71" s="69"/>
      <c r="BL71" s="147"/>
      <c r="BM71" s="147"/>
      <c r="BN71" s="147"/>
    </row>
    <row r="72" spans="7:66" s="134" customFormat="1" ht="13.15" customHeight="1" x14ac:dyDescent="0.25">
      <c r="G72" s="146"/>
      <c r="M72" s="69"/>
      <c r="O72" s="69"/>
      <c r="R72" s="69"/>
      <c r="T72" s="69"/>
      <c r="X72" s="167"/>
      <c r="Y72" s="167"/>
      <c r="AA72" s="69"/>
      <c r="AC72" s="69"/>
      <c r="AF72" s="69"/>
      <c r="AH72" s="69"/>
      <c r="AM72" s="69"/>
      <c r="AO72" s="69"/>
      <c r="AR72" s="69"/>
      <c r="AT72" s="69"/>
      <c r="BF72" s="69"/>
      <c r="BL72" s="147"/>
      <c r="BM72" s="147"/>
      <c r="BN72" s="147"/>
    </row>
    <row r="73" spans="7:66" s="134" customFormat="1" ht="13.15" customHeight="1" x14ac:dyDescent="0.25">
      <c r="G73" s="146"/>
      <c r="M73" s="69"/>
      <c r="O73" s="69"/>
      <c r="R73" s="69"/>
      <c r="T73" s="69"/>
      <c r="X73" s="167"/>
      <c r="Y73" s="167"/>
      <c r="AA73" s="69"/>
      <c r="AC73" s="69"/>
      <c r="AF73" s="69"/>
      <c r="AH73" s="69"/>
      <c r="AM73" s="69"/>
      <c r="AO73" s="69"/>
      <c r="AR73" s="69"/>
      <c r="AT73" s="69"/>
      <c r="BF73" s="69"/>
      <c r="BL73" s="147"/>
      <c r="BM73" s="147"/>
      <c r="BN73" s="147"/>
    </row>
    <row r="74" spans="7:66" s="134" customFormat="1" ht="13.15" customHeight="1" x14ac:dyDescent="0.25">
      <c r="G74" s="146"/>
      <c r="M74" s="69"/>
      <c r="O74" s="69"/>
      <c r="R74" s="69"/>
      <c r="T74" s="69"/>
      <c r="X74" s="167"/>
      <c r="Y74" s="167"/>
      <c r="AA74" s="69"/>
      <c r="AC74" s="69"/>
      <c r="AF74" s="69"/>
      <c r="AH74" s="69"/>
      <c r="AM74" s="69"/>
      <c r="AO74" s="69"/>
      <c r="AR74" s="69"/>
      <c r="AT74" s="69"/>
      <c r="BF74" s="69"/>
      <c r="BL74" s="147"/>
      <c r="BM74" s="147"/>
      <c r="BN74" s="147"/>
    </row>
    <row r="75" spans="7:66" s="134" customFormat="1" ht="13.15" customHeight="1" x14ac:dyDescent="0.25">
      <c r="G75" s="146"/>
      <c r="M75" s="69"/>
      <c r="O75" s="69"/>
      <c r="R75" s="69"/>
      <c r="T75" s="69"/>
      <c r="X75" s="167"/>
      <c r="Y75" s="167"/>
      <c r="AA75" s="69"/>
      <c r="AC75" s="69"/>
      <c r="AF75" s="69"/>
      <c r="AH75" s="69"/>
      <c r="AM75" s="69"/>
      <c r="AO75" s="69"/>
      <c r="AR75" s="69"/>
      <c r="AT75" s="69"/>
      <c r="BF75" s="69"/>
      <c r="BL75" s="147"/>
      <c r="BM75" s="147"/>
      <c r="BN75" s="147"/>
    </row>
    <row r="76" spans="7:66" s="134" customFormat="1" ht="13.15" customHeight="1" x14ac:dyDescent="0.25">
      <c r="G76" s="146"/>
      <c r="M76" s="69"/>
      <c r="O76" s="69"/>
      <c r="R76" s="69"/>
      <c r="T76" s="69"/>
      <c r="X76" s="167"/>
      <c r="Y76" s="167"/>
      <c r="AA76" s="69"/>
      <c r="AC76" s="69"/>
      <c r="AF76" s="69"/>
      <c r="AH76" s="69"/>
      <c r="AM76" s="69"/>
      <c r="AO76" s="69"/>
      <c r="AR76" s="69"/>
      <c r="AT76" s="69"/>
      <c r="BF76" s="69"/>
      <c r="BL76" s="147"/>
      <c r="BM76" s="147"/>
      <c r="BN76" s="147"/>
    </row>
    <row r="77" spans="7:66" s="134" customFormat="1" ht="13.15" customHeight="1" x14ac:dyDescent="0.25">
      <c r="G77" s="146"/>
      <c r="M77" s="69"/>
      <c r="O77" s="69"/>
      <c r="R77" s="69"/>
      <c r="T77" s="69"/>
      <c r="X77" s="167"/>
      <c r="Y77" s="167"/>
      <c r="AA77" s="69"/>
      <c r="AC77" s="69"/>
      <c r="AF77" s="69"/>
      <c r="AH77" s="69"/>
      <c r="AM77" s="69"/>
      <c r="AO77" s="69"/>
      <c r="AR77" s="69"/>
      <c r="AT77" s="69"/>
      <c r="BF77" s="69"/>
      <c r="BL77" s="147"/>
      <c r="BM77" s="147"/>
      <c r="BN77" s="147"/>
    </row>
    <row r="78" spans="7:66" s="134" customFormat="1" ht="13.15" customHeight="1" x14ac:dyDescent="0.25">
      <c r="G78" s="146"/>
      <c r="M78" s="69"/>
      <c r="O78" s="69"/>
      <c r="R78" s="69"/>
      <c r="T78" s="69"/>
      <c r="X78" s="167"/>
      <c r="Y78" s="167"/>
      <c r="AA78" s="69"/>
      <c r="AC78" s="69"/>
      <c r="AF78" s="69"/>
      <c r="AH78" s="69"/>
      <c r="AM78" s="69"/>
      <c r="AO78" s="69"/>
      <c r="AR78" s="69"/>
      <c r="AT78" s="69"/>
      <c r="BF78" s="69"/>
      <c r="BL78" s="147"/>
      <c r="BM78" s="147"/>
      <c r="BN78" s="147"/>
    </row>
    <row r="79" spans="7:66" s="134" customFormat="1" ht="13.15" customHeight="1" x14ac:dyDescent="0.25">
      <c r="G79" s="146"/>
      <c r="M79" s="69"/>
      <c r="O79" s="69"/>
      <c r="R79" s="69"/>
      <c r="T79" s="69"/>
      <c r="X79" s="167"/>
      <c r="Y79" s="167"/>
      <c r="AA79" s="69"/>
      <c r="AC79" s="69"/>
      <c r="AF79" s="69"/>
      <c r="AH79" s="69"/>
      <c r="AM79" s="69"/>
      <c r="AO79" s="69"/>
      <c r="AR79" s="69"/>
      <c r="AT79" s="69"/>
      <c r="BF79" s="69"/>
      <c r="BL79" s="147"/>
      <c r="BM79" s="147"/>
      <c r="BN79" s="147"/>
    </row>
    <row r="80" spans="7:66" s="134" customFormat="1" ht="13.15" customHeight="1" x14ac:dyDescent="0.25">
      <c r="G80" s="146"/>
      <c r="M80" s="69"/>
      <c r="O80" s="69"/>
      <c r="R80" s="69"/>
      <c r="T80" s="69"/>
      <c r="X80" s="167"/>
      <c r="Y80" s="167"/>
      <c r="AA80" s="69"/>
      <c r="AC80" s="69"/>
      <c r="AF80" s="69"/>
      <c r="AH80" s="69"/>
      <c r="AM80" s="69"/>
      <c r="AO80" s="69"/>
      <c r="AR80" s="69"/>
      <c r="AT80" s="69"/>
      <c r="BF80" s="69"/>
      <c r="BL80" s="147"/>
      <c r="BM80" s="147"/>
      <c r="BN80" s="147"/>
    </row>
    <row r="81" spans="7:66" s="134" customFormat="1" ht="13.15" customHeight="1" x14ac:dyDescent="0.25">
      <c r="G81" s="146"/>
      <c r="M81" s="69"/>
      <c r="O81" s="69"/>
      <c r="R81" s="69"/>
      <c r="T81" s="69"/>
      <c r="X81" s="167"/>
      <c r="Y81" s="167"/>
      <c r="AA81" s="69"/>
      <c r="AC81" s="69"/>
      <c r="AF81" s="69"/>
      <c r="AH81" s="69"/>
      <c r="AM81" s="69"/>
      <c r="AO81" s="69"/>
      <c r="AR81" s="69"/>
      <c r="AT81" s="69"/>
      <c r="BF81" s="69"/>
      <c r="BL81" s="147"/>
      <c r="BM81" s="147"/>
      <c r="BN81" s="147"/>
    </row>
    <row r="82" spans="7:66" s="134" customFormat="1" ht="13.15" customHeight="1" x14ac:dyDescent="0.25">
      <c r="G82" s="146"/>
      <c r="M82" s="69"/>
      <c r="O82" s="69"/>
      <c r="R82" s="69"/>
      <c r="T82" s="69"/>
      <c r="X82" s="167"/>
      <c r="Y82" s="167"/>
      <c r="AA82" s="69"/>
      <c r="AC82" s="69"/>
      <c r="AF82" s="69"/>
      <c r="AH82" s="69"/>
      <c r="AM82" s="69"/>
      <c r="AO82" s="69"/>
      <c r="AR82" s="69"/>
      <c r="AT82" s="69"/>
      <c r="BF82" s="69"/>
      <c r="BL82" s="147"/>
      <c r="BM82" s="147"/>
      <c r="BN82" s="147"/>
    </row>
    <row r="83" spans="7:66" s="134" customFormat="1" ht="13.15" customHeight="1" x14ac:dyDescent="0.25">
      <c r="G83" s="146"/>
      <c r="M83" s="69"/>
      <c r="O83" s="69"/>
      <c r="R83" s="69"/>
      <c r="T83" s="69"/>
      <c r="X83" s="167"/>
      <c r="Y83" s="167"/>
      <c r="AA83" s="69"/>
      <c r="AC83" s="69"/>
      <c r="AF83" s="69"/>
      <c r="AH83" s="69"/>
      <c r="AM83" s="69"/>
      <c r="AO83" s="69"/>
      <c r="AR83" s="69"/>
      <c r="AT83" s="69"/>
      <c r="BF83" s="69"/>
      <c r="BL83" s="147"/>
      <c r="BM83" s="147"/>
      <c r="BN83" s="147"/>
    </row>
    <row r="84" spans="7:66" s="134" customFormat="1" ht="13.15" customHeight="1" x14ac:dyDescent="0.25">
      <c r="G84" s="146"/>
      <c r="M84" s="69"/>
      <c r="O84" s="69"/>
      <c r="R84" s="69"/>
      <c r="T84" s="69"/>
      <c r="X84" s="167"/>
      <c r="Y84" s="167"/>
      <c r="AA84" s="69"/>
      <c r="AC84" s="69"/>
      <c r="AF84" s="69"/>
      <c r="AH84" s="69"/>
      <c r="AM84" s="69"/>
      <c r="AO84" s="69"/>
      <c r="AR84" s="69"/>
      <c r="AT84" s="69"/>
      <c r="BF84" s="69"/>
      <c r="BL84" s="147"/>
      <c r="BM84" s="147"/>
      <c r="BN84" s="147"/>
    </row>
    <row r="85" spans="7:66" s="134" customFormat="1" ht="13.15" customHeight="1" x14ac:dyDescent="0.25">
      <c r="G85" s="146"/>
      <c r="M85" s="69"/>
      <c r="O85" s="69"/>
      <c r="R85" s="69"/>
      <c r="T85" s="69"/>
      <c r="X85" s="167"/>
      <c r="Y85" s="167"/>
      <c r="AA85" s="69"/>
      <c r="AC85" s="69"/>
      <c r="AF85" s="69"/>
      <c r="AH85" s="69"/>
      <c r="AM85" s="69"/>
      <c r="AO85" s="69"/>
      <c r="AR85" s="69"/>
      <c r="AT85" s="69"/>
      <c r="BF85" s="69"/>
      <c r="BL85" s="147"/>
      <c r="BM85" s="147"/>
      <c r="BN85" s="147"/>
    </row>
    <row r="86" spans="7:66" s="134" customFormat="1" ht="13.15" customHeight="1" x14ac:dyDescent="0.25">
      <c r="G86" s="146"/>
      <c r="M86" s="69"/>
      <c r="O86" s="69"/>
      <c r="R86" s="69"/>
      <c r="T86" s="69"/>
      <c r="X86" s="167"/>
      <c r="Y86" s="167"/>
      <c r="AA86" s="69"/>
      <c r="AC86" s="69"/>
      <c r="AF86" s="69"/>
      <c r="AH86" s="69"/>
      <c r="AM86" s="69"/>
      <c r="AO86" s="69"/>
      <c r="AR86" s="69"/>
      <c r="AT86" s="69"/>
      <c r="BF86" s="69"/>
      <c r="BL86" s="147"/>
      <c r="BM86" s="147"/>
      <c r="BN86" s="147"/>
    </row>
    <row r="87" spans="7:66" s="134" customFormat="1" ht="13.15" customHeight="1" x14ac:dyDescent="0.25">
      <c r="G87" s="146"/>
      <c r="M87" s="69"/>
      <c r="O87" s="69"/>
      <c r="R87" s="69"/>
      <c r="T87" s="69"/>
      <c r="X87" s="167"/>
      <c r="Y87" s="167"/>
      <c r="AA87" s="69"/>
      <c r="AC87" s="69"/>
      <c r="AF87" s="69"/>
      <c r="AH87" s="69"/>
      <c r="AM87" s="69"/>
      <c r="AO87" s="69"/>
      <c r="AR87" s="69"/>
      <c r="AT87" s="69"/>
      <c r="BF87" s="69"/>
      <c r="BL87" s="147"/>
      <c r="BM87" s="147"/>
      <c r="BN87" s="147"/>
    </row>
    <row r="88" spans="7:66" s="134" customFormat="1" ht="13.15" customHeight="1" x14ac:dyDescent="0.25">
      <c r="G88" s="146"/>
      <c r="M88" s="69"/>
      <c r="O88" s="69"/>
      <c r="R88" s="69"/>
      <c r="T88" s="69"/>
      <c r="X88" s="167"/>
      <c r="Y88" s="167"/>
      <c r="AA88" s="69"/>
      <c r="AC88" s="69"/>
      <c r="AF88" s="69"/>
      <c r="AH88" s="69"/>
      <c r="AM88" s="69"/>
      <c r="AO88" s="69"/>
      <c r="AR88" s="69"/>
      <c r="AT88" s="69"/>
      <c r="BF88" s="69"/>
      <c r="BL88" s="147"/>
      <c r="BM88" s="147"/>
      <c r="BN88" s="147"/>
    </row>
    <row r="89" spans="7:66" s="134" customFormat="1" ht="13.15" customHeight="1" x14ac:dyDescent="0.25">
      <c r="G89" s="146"/>
      <c r="M89" s="69"/>
      <c r="O89" s="69"/>
      <c r="R89" s="69"/>
      <c r="T89" s="69"/>
      <c r="X89" s="167"/>
      <c r="Y89" s="167"/>
      <c r="AA89" s="69"/>
      <c r="AC89" s="69"/>
      <c r="AF89" s="69"/>
      <c r="AH89" s="69"/>
      <c r="AM89" s="69"/>
      <c r="AO89" s="69"/>
      <c r="AR89" s="69"/>
      <c r="AT89" s="69"/>
      <c r="BF89" s="69"/>
      <c r="BL89" s="147"/>
      <c r="BM89" s="147"/>
      <c r="BN89" s="147"/>
    </row>
    <row r="90" spans="7:66" s="134" customFormat="1" ht="13.15" customHeight="1" x14ac:dyDescent="0.25">
      <c r="G90" s="146"/>
      <c r="M90" s="69"/>
      <c r="O90" s="69"/>
      <c r="R90" s="69"/>
      <c r="T90" s="69"/>
      <c r="X90" s="167"/>
      <c r="Y90" s="167"/>
      <c r="AA90" s="69"/>
      <c r="AC90" s="69"/>
      <c r="AF90" s="69"/>
      <c r="AH90" s="69"/>
      <c r="AM90" s="69"/>
      <c r="AO90" s="69"/>
      <c r="AR90" s="69"/>
      <c r="AT90" s="69"/>
      <c r="BF90" s="69"/>
      <c r="BL90" s="147"/>
      <c r="BM90" s="147"/>
      <c r="BN90" s="147"/>
    </row>
    <row r="91" spans="7:66" s="134" customFormat="1" ht="13.15" customHeight="1" x14ac:dyDescent="0.25">
      <c r="G91" s="146"/>
      <c r="M91" s="69"/>
      <c r="O91" s="69"/>
      <c r="R91" s="69"/>
      <c r="T91" s="69"/>
      <c r="X91" s="167"/>
      <c r="Y91" s="167"/>
      <c r="AA91" s="69"/>
      <c r="AC91" s="69"/>
      <c r="AF91" s="69"/>
      <c r="AH91" s="69"/>
      <c r="AM91" s="69"/>
      <c r="AO91" s="69"/>
      <c r="AR91" s="69"/>
      <c r="AT91" s="69"/>
      <c r="BF91" s="69"/>
      <c r="BL91" s="147"/>
      <c r="BM91" s="147"/>
      <c r="BN91" s="147"/>
    </row>
    <row r="92" spans="7:66" s="134" customFormat="1" ht="13.15" customHeight="1" x14ac:dyDescent="0.25">
      <c r="G92" s="146"/>
      <c r="M92" s="69"/>
      <c r="O92" s="69"/>
      <c r="R92" s="69"/>
      <c r="T92" s="69"/>
      <c r="X92" s="167"/>
      <c r="Y92" s="167"/>
      <c r="AA92" s="69"/>
      <c r="AC92" s="69"/>
      <c r="AF92" s="69"/>
      <c r="AH92" s="69"/>
      <c r="AM92" s="69"/>
      <c r="AO92" s="69"/>
      <c r="AR92" s="69"/>
      <c r="AT92" s="69"/>
      <c r="BF92" s="69"/>
      <c r="BL92" s="147"/>
      <c r="BM92" s="147"/>
      <c r="BN92" s="147"/>
    </row>
    <row r="93" spans="7:66" s="134" customFormat="1" ht="13.15" customHeight="1" x14ac:dyDescent="0.25">
      <c r="G93" s="146"/>
      <c r="M93" s="69"/>
      <c r="O93" s="69"/>
      <c r="R93" s="69"/>
      <c r="T93" s="69"/>
      <c r="X93" s="167"/>
      <c r="Y93" s="167"/>
      <c r="AA93" s="69"/>
      <c r="AC93" s="69"/>
      <c r="AF93" s="69"/>
      <c r="AH93" s="69"/>
      <c r="AM93" s="69"/>
      <c r="AO93" s="69"/>
      <c r="AR93" s="69"/>
      <c r="AT93" s="69"/>
      <c r="BF93" s="69"/>
      <c r="BL93" s="147"/>
      <c r="BM93" s="147"/>
      <c r="BN93" s="147"/>
    </row>
    <row r="94" spans="7:66" s="134" customFormat="1" ht="13.15" customHeight="1" x14ac:dyDescent="0.25">
      <c r="G94" s="146"/>
      <c r="M94" s="69"/>
      <c r="O94" s="69"/>
      <c r="R94" s="69"/>
      <c r="T94" s="69"/>
      <c r="X94" s="167"/>
      <c r="Y94" s="167"/>
      <c r="AA94" s="69"/>
      <c r="AC94" s="69"/>
      <c r="AF94" s="69"/>
      <c r="AH94" s="69"/>
      <c r="AM94" s="69"/>
      <c r="AO94" s="69"/>
      <c r="AR94" s="69"/>
      <c r="AT94" s="69"/>
      <c r="BF94" s="69"/>
      <c r="BL94" s="147"/>
      <c r="BM94" s="147"/>
      <c r="BN94" s="147"/>
    </row>
    <row r="95" spans="7:66" s="134" customFormat="1" ht="13.15" customHeight="1" x14ac:dyDescent="0.25">
      <c r="G95" s="146"/>
      <c r="M95" s="69"/>
      <c r="O95" s="69"/>
      <c r="R95" s="69"/>
      <c r="T95" s="69"/>
      <c r="X95" s="167"/>
      <c r="Y95" s="167"/>
      <c r="AA95" s="69"/>
      <c r="AC95" s="69"/>
      <c r="AF95" s="69"/>
      <c r="AH95" s="69"/>
      <c r="AM95" s="69"/>
      <c r="AO95" s="69"/>
      <c r="AR95" s="69"/>
      <c r="AT95" s="69"/>
      <c r="BF95" s="69"/>
      <c r="BL95" s="147"/>
      <c r="BM95" s="147"/>
      <c r="BN95" s="147"/>
    </row>
    <row r="96" spans="7:66" s="134" customFormat="1" ht="13.15" customHeight="1" x14ac:dyDescent="0.25">
      <c r="G96" s="146"/>
      <c r="M96" s="69"/>
      <c r="O96" s="69"/>
      <c r="R96" s="69"/>
      <c r="T96" s="69"/>
      <c r="X96" s="167"/>
      <c r="Y96" s="167"/>
      <c r="AA96" s="69"/>
      <c r="AC96" s="69"/>
      <c r="AF96" s="69"/>
      <c r="AH96" s="69"/>
      <c r="AM96" s="69"/>
      <c r="AO96" s="69"/>
      <c r="AR96" s="69"/>
      <c r="AT96" s="69"/>
      <c r="BF96" s="69"/>
      <c r="BL96" s="147"/>
      <c r="BM96" s="147"/>
      <c r="BN96" s="147"/>
    </row>
    <row r="97" spans="7:66" s="134" customFormat="1" ht="13.15" customHeight="1" x14ac:dyDescent="0.25">
      <c r="G97" s="146"/>
      <c r="M97" s="69"/>
      <c r="O97" s="69"/>
      <c r="R97" s="69"/>
      <c r="T97" s="69"/>
      <c r="X97" s="167"/>
      <c r="Y97" s="167"/>
      <c r="AA97" s="69"/>
      <c r="AC97" s="69"/>
      <c r="AF97" s="69"/>
      <c r="AH97" s="69"/>
      <c r="AM97" s="69"/>
      <c r="AO97" s="69"/>
      <c r="AR97" s="69"/>
      <c r="AT97" s="69"/>
      <c r="BF97" s="69"/>
      <c r="BL97" s="147"/>
      <c r="BM97" s="147"/>
      <c r="BN97" s="147"/>
    </row>
    <row r="98" spans="7:66" s="134" customFormat="1" ht="13.15" customHeight="1" x14ac:dyDescent="0.25">
      <c r="G98" s="146"/>
      <c r="M98" s="69"/>
      <c r="O98" s="69"/>
      <c r="R98" s="69"/>
      <c r="T98" s="69"/>
      <c r="X98" s="167"/>
      <c r="Y98" s="167"/>
      <c r="AA98" s="69"/>
      <c r="AC98" s="69"/>
      <c r="AF98" s="69"/>
      <c r="AH98" s="69"/>
      <c r="AM98" s="69"/>
      <c r="AO98" s="69"/>
      <c r="AR98" s="69"/>
      <c r="AT98" s="69"/>
      <c r="BF98" s="69"/>
      <c r="BL98" s="147"/>
      <c r="BM98" s="147"/>
      <c r="BN98" s="147"/>
    </row>
    <row r="99" spans="7:66" s="134" customFormat="1" ht="13.15" customHeight="1" x14ac:dyDescent="0.25">
      <c r="G99" s="146"/>
      <c r="M99" s="69"/>
      <c r="O99" s="69"/>
      <c r="R99" s="69"/>
      <c r="T99" s="69"/>
      <c r="X99" s="167"/>
      <c r="Y99" s="167"/>
      <c r="AA99" s="69"/>
      <c r="AC99" s="69"/>
      <c r="AF99" s="69"/>
      <c r="AH99" s="69"/>
      <c r="AM99" s="69"/>
      <c r="AO99" s="69"/>
      <c r="AR99" s="69"/>
      <c r="AT99" s="69"/>
      <c r="BF99" s="69"/>
      <c r="BL99" s="147"/>
      <c r="BM99" s="147"/>
      <c r="BN99" s="147"/>
    </row>
    <row r="100" spans="7:66" s="134" customFormat="1" ht="13.15" customHeight="1" x14ac:dyDescent="0.25">
      <c r="G100" s="146"/>
      <c r="M100" s="69"/>
      <c r="O100" s="69"/>
      <c r="R100" s="69"/>
      <c r="T100" s="69"/>
      <c r="X100" s="167"/>
      <c r="Y100" s="167"/>
      <c r="AA100" s="69"/>
      <c r="AC100" s="69"/>
      <c r="AF100" s="69"/>
      <c r="AH100" s="69"/>
      <c r="AM100" s="69"/>
      <c r="AO100" s="69"/>
      <c r="AR100" s="69"/>
      <c r="AT100" s="69"/>
      <c r="BF100" s="69"/>
      <c r="BL100" s="147"/>
      <c r="BM100" s="147"/>
      <c r="BN100" s="147"/>
    </row>
    <row r="101" spans="7:66" s="134" customFormat="1" ht="13.15" customHeight="1" x14ac:dyDescent="0.25">
      <c r="G101" s="146"/>
      <c r="M101" s="69"/>
      <c r="O101" s="69"/>
      <c r="R101" s="69"/>
      <c r="T101" s="69"/>
      <c r="X101" s="167"/>
      <c r="Y101" s="167"/>
      <c r="AA101" s="69"/>
      <c r="AC101" s="69"/>
      <c r="AF101" s="69"/>
      <c r="AH101" s="69"/>
      <c r="AM101" s="69"/>
      <c r="AO101" s="69"/>
      <c r="AR101" s="69"/>
      <c r="AT101" s="69"/>
      <c r="BF101" s="69"/>
      <c r="BL101" s="147"/>
      <c r="BM101" s="147"/>
      <c r="BN101" s="147"/>
    </row>
    <row r="102" spans="7:66" s="134" customFormat="1" ht="13.15" customHeight="1" x14ac:dyDescent="0.25">
      <c r="G102" s="146"/>
      <c r="M102" s="69"/>
      <c r="O102" s="69"/>
      <c r="R102" s="69"/>
      <c r="T102" s="69"/>
      <c r="X102" s="167"/>
      <c r="Y102" s="167"/>
      <c r="AA102" s="69"/>
      <c r="AC102" s="69"/>
      <c r="AF102" s="69"/>
      <c r="AH102" s="69"/>
      <c r="AM102" s="69"/>
      <c r="AO102" s="69"/>
      <c r="AR102" s="69"/>
      <c r="AT102" s="69"/>
      <c r="BF102" s="69"/>
      <c r="BL102" s="147"/>
      <c r="BM102" s="147"/>
      <c r="BN102" s="147"/>
    </row>
    <row r="103" spans="7:66" s="134" customFormat="1" ht="13.15" customHeight="1" x14ac:dyDescent="0.25">
      <c r="G103" s="146"/>
      <c r="M103" s="69"/>
      <c r="O103" s="69"/>
      <c r="R103" s="69"/>
      <c r="T103" s="69"/>
      <c r="X103" s="167"/>
      <c r="Y103" s="167"/>
      <c r="AA103" s="69"/>
      <c r="AC103" s="69"/>
      <c r="AF103" s="69"/>
      <c r="AH103" s="69"/>
      <c r="AM103" s="69"/>
      <c r="AO103" s="69"/>
      <c r="AR103" s="69"/>
      <c r="AT103" s="69"/>
      <c r="BF103" s="69"/>
      <c r="BL103" s="147"/>
      <c r="BM103" s="147"/>
      <c r="BN103" s="147"/>
    </row>
    <row r="104" spans="7:66" s="134" customFormat="1" ht="13.15" customHeight="1" x14ac:dyDescent="0.25">
      <c r="G104" s="146"/>
      <c r="M104" s="69"/>
      <c r="O104" s="69"/>
      <c r="R104" s="69"/>
      <c r="T104" s="69"/>
      <c r="X104" s="167"/>
      <c r="Y104" s="167"/>
      <c r="AA104" s="69"/>
      <c r="AC104" s="69"/>
      <c r="AF104" s="69"/>
      <c r="AH104" s="69"/>
      <c r="AM104" s="69"/>
      <c r="AO104" s="69"/>
      <c r="AR104" s="69"/>
      <c r="AT104" s="69"/>
      <c r="BF104" s="69"/>
      <c r="BL104" s="147"/>
      <c r="BM104" s="147"/>
      <c r="BN104" s="147"/>
    </row>
    <row r="105" spans="7:66" s="134" customFormat="1" ht="13.15" customHeight="1" x14ac:dyDescent="0.25">
      <c r="G105" s="146"/>
      <c r="M105" s="69"/>
      <c r="O105" s="69"/>
      <c r="R105" s="69"/>
      <c r="T105" s="69"/>
      <c r="X105" s="167"/>
      <c r="Y105" s="167"/>
      <c r="AA105" s="69"/>
      <c r="AC105" s="69"/>
      <c r="AF105" s="69"/>
      <c r="AH105" s="69"/>
      <c r="AM105" s="69"/>
      <c r="AO105" s="69"/>
      <c r="AR105" s="69"/>
      <c r="AT105" s="69"/>
      <c r="BF105" s="69"/>
      <c r="BL105" s="147"/>
      <c r="BM105" s="147"/>
      <c r="BN105" s="147"/>
    </row>
    <row r="106" spans="7:66" s="134" customFormat="1" ht="13.15" customHeight="1" x14ac:dyDescent="0.25">
      <c r="G106" s="146"/>
      <c r="M106" s="69"/>
      <c r="O106" s="69"/>
      <c r="R106" s="69"/>
      <c r="T106" s="69"/>
      <c r="X106" s="167"/>
      <c r="Y106" s="167"/>
      <c r="AA106" s="69"/>
      <c r="AC106" s="69"/>
      <c r="AF106" s="69"/>
      <c r="AH106" s="69"/>
      <c r="AM106" s="69"/>
      <c r="AO106" s="69"/>
      <c r="AR106" s="69"/>
      <c r="AT106" s="69"/>
      <c r="BF106" s="69"/>
      <c r="BL106" s="147"/>
      <c r="BM106" s="147"/>
      <c r="BN106" s="147"/>
    </row>
    <row r="107" spans="7:66" s="134" customFormat="1" ht="13.15" customHeight="1" x14ac:dyDescent="0.25">
      <c r="G107" s="146"/>
      <c r="M107" s="69"/>
      <c r="O107" s="69"/>
      <c r="R107" s="69"/>
      <c r="T107" s="69"/>
      <c r="X107" s="167"/>
      <c r="Y107" s="167"/>
      <c r="AA107" s="69"/>
      <c r="AC107" s="69"/>
      <c r="AF107" s="69"/>
      <c r="AH107" s="69"/>
      <c r="AM107" s="69"/>
      <c r="AO107" s="69"/>
      <c r="AR107" s="69"/>
      <c r="AT107" s="69"/>
      <c r="BF107" s="69"/>
      <c r="BL107" s="147"/>
      <c r="BM107" s="147"/>
      <c r="BN107" s="147"/>
    </row>
    <row r="108" spans="7:66" s="134" customFormat="1" ht="13.15" customHeight="1" x14ac:dyDescent="0.25">
      <c r="G108" s="146"/>
      <c r="M108" s="69"/>
      <c r="O108" s="69"/>
      <c r="R108" s="69"/>
      <c r="T108" s="69"/>
      <c r="X108" s="167"/>
      <c r="Y108" s="167"/>
      <c r="AA108" s="69"/>
      <c r="AC108" s="69"/>
      <c r="AF108" s="69"/>
      <c r="AH108" s="69"/>
      <c r="AM108" s="69"/>
      <c r="AO108" s="69"/>
      <c r="AR108" s="69"/>
      <c r="AT108" s="69"/>
      <c r="BF108" s="69"/>
      <c r="BL108" s="147"/>
      <c r="BM108" s="147"/>
      <c r="BN108" s="147"/>
    </row>
    <row r="109" spans="7:66" s="134" customFormat="1" ht="13.15" customHeight="1" x14ac:dyDescent="0.25">
      <c r="G109" s="146"/>
      <c r="M109" s="69"/>
      <c r="O109" s="69"/>
      <c r="R109" s="69"/>
      <c r="T109" s="69"/>
      <c r="X109" s="167"/>
      <c r="Y109" s="167"/>
      <c r="AA109" s="69"/>
      <c r="AC109" s="69"/>
      <c r="AF109" s="69"/>
      <c r="AH109" s="69"/>
      <c r="AM109" s="69"/>
      <c r="AO109" s="69"/>
      <c r="AR109" s="69"/>
      <c r="AT109" s="69"/>
      <c r="BF109" s="69"/>
      <c r="BL109" s="147"/>
      <c r="BM109" s="147"/>
      <c r="BN109" s="147"/>
    </row>
    <row r="110" spans="7:66" s="134" customFormat="1" ht="13.15" customHeight="1" x14ac:dyDescent="0.25">
      <c r="G110" s="146"/>
      <c r="M110" s="69"/>
      <c r="O110" s="69"/>
      <c r="R110" s="69"/>
      <c r="T110" s="69"/>
      <c r="X110" s="167"/>
      <c r="Y110" s="167"/>
      <c r="AA110" s="69"/>
      <c r="AC110" s="69"/>
      <c r="AF110" s="69"/>
      <c r="AH110" s="69"/>
      <c r="AM110" s="69"/>
      <c r="AO110" s="69"/>
      <c r="AR110" s="69"/>
      <c r="AT110" s="69"/>
      <c r="BF110" s="69"/>
      <c r="BL110" s="147"/>
      <c r="BM110" s="147"/>
      <c r="BN110" s="147"/>
    </row>
    <row r="111" spans="7:66" s="134" customFormat="1" ht="13.15" customHeight="1" x14ac:dyDescent="0.25">
      <c r="G111" s="146"/>
      <c r="M111" s="69"/>
      <c r="O111" s="69"/>
      <c r="R111" s="69"/>
      <c r="T111" s="69"/>
      <c r="X111" s="167"/>
      <c r="Y111" s="167"/>
      <c r="AA111" s="69"/>
      <c r="AC111" s="69"/>
      <c r="AF111" s="69"/>
      <c r="AH111" s="69"/>
      <c r="AM111" s="69"/>
      <c r="AO111" s="69"/>
      <c r="AR111" s="69"/>
      <c r="AT111" s="69"/>
      <c r="BF111" s="69"/>
      <c r="BL111" s="147"/>
      <c r="BM111" s="147"/>
      <c r="BN111" s="147"/>
    </row>
    <row r="112" spans="7:66" s="134" customFormat="1" ht="13.15" customHeight="1" x14ac:dyDescent="0.25">
      <c r="G112" s="146"/>
      <c r="M112" s="69"/>
      <c r="O112" s="69"/>
      <c r="R112" s="69"/>
      <c r="T112" s="69"/>
      <c r="X112" s="167"/>
      <c r="Y112" s="167"/>
      <c r="AA112" s="69"/>
      <c r="AC112" s="69"/>
      <c r="AF112" s="69"/>
      <c r="AH112" s="69"/>
      <c r="AM112" s="69"/>
      <c r="AO112" s="69"/>
      <c r="AR112" s="69"/>
      <c r="AT112" s="69"/>
      <c r="BF112" s="69"/>
      <c r="BL112" s="147"/>
      <c r="BM112" s="147"/>
      <c r="BN112" s="147"/>
    </row>
    <row r="113" spans="7:66" s="134" customFormat="1" ht="13.15" customHeight="1" x14ac:dyDescent="0.25">
      <c r="G113" s="146"/>
      <c r="M113" s="69"/>
      <c r="O113" s="69"/>
      <c r="R113" s="69"/>
      <c r="T113" s="69"/>
      <c r="X113" s="167"/>
      <c r="Y113" s="167"/>
      <c r="AA113" s="69"/>
      <c r="AC113" s="69"/>
      <c r="AF113" s="69"/>
      <c r="AH113" s="69"/>
      <c r="AM113" s="69"/>
      <c r="AO113" s="69"/>
      <c r="AR113" s="69"/>
      <c r="AT113" s="69"/>
      <c r="BF113" s="69"/>
      <c r="BL113" s="147"/>
      <c r="BM113" s="147"/>
      <c r="BN113" s="147"/>
    </row>
    <row r="114" spans="7:66" s="134" customFormat="1" ht="13.15" customHeight="1" x14ac:dyDescent="0.25">
      <c r="G114" s="146"/>
      <c r="M114" s="69"/>
      <c r="O114" s="69"/>
      <c r="R114" s="69"/>
      <c r="T114" s="69"/>
      <c r="X114" s="167"/>
      <c r="Y114" s="167"/>
      <c r="AA114" s="69"/>
      <c r="AC114" s="69"/>
      <c r="AF114" s="69"/>
      <c r="AH114" s="69"/>
      <c r="AM114" s="69"/>
      <c r="AO114" s="69"/>
      <c r="AR114" s="69"/>
      <c r="AT114" s="69"/>
      <c r="BF114" s="69"/>
      <c r="BL114" s="147"/>
      <c r="BM114" s="147"/>
      <c r="BN114" s="147"/>
    </row>
    <row r="115" spans="7:66" s="134" customFormat="1" ht="13.15" customHeight="1" x14ac:dyDescent="0.25">
      <c r="G115" s="146"/>
      <c r="M115" s="69"/>
      <c r="O115" s="69"/>
      <c r="R115" s="69"/>
      <c r="T115" s="69"/>
      <c r="X115" s="167"/>
      <c r="Y115" s="167"/>
      <c r="AA115" s="69"/>
      <c r="AC115" s="69"/>
      <c r="AF115" s="69"/>
      <c r="AH115" s="69"/>
      <c r="AM115" s="69"/>
      <c r="AO115" s="69"/>
      <c r="AR115" s="69"/>
      <c r="AT115" s="69"/>
      <c r="BF115" s="69"/>
      <c r="BL115" s="147"/>
      <c r="BM115" s="147"/>
      <c r="BN115" s="147"/>
    </row>
    <row r="116" spans="7:66" s="134" customFormat="1" ht="13.15" customHeight="1" x14ac:dyDescent="0.25">
      <c r="G116" s="146"/>
      <c r="M116" s="69"/>
      <c r="O116" s="69"/>
      <c r="R116" s="69"/>
      <c r="T116" s="69"/>
      <c r="X116" s="167"/>
      <c r="Y116" s="167"/>
      <c r="AA116" s="69"/>
      <c r="AC116" s="69"/>
      <c r="AF116" s="69"/>
      <c r="AH116" s="69"/>
      <c r="AM116" s="69"/>
      <c r="AO116" s="69"/>
      <c r="AR116" s="69"/>
      <c r="AT116" s="69"/>
      <c r="BF116" s="69"/>
      <c r="BL116" s="147"/>
      <c r="BM116" s="147"/>
      <c r="BN116" s="147"/>
    </row>
    <row r="117" spans="7:66" s="134" customFormat="1" ht="13.15" customHeight="1" x14ac:dyDescent="0.25">
      <c r="G117" s="146"/>
      <c r="M117" s="69"/>
      <c r="O117" s="69"/>
      <c r="R117" s="69"/>
      <c r="T117" s="69"/>
      <c r="X117" s="167"/>
      <c r="Y117" s="167"/>
      <c r="AA117" s="69"/>
      <c r="AC117" s="69"/>
      <c r="AF117" s="69"/>
      <c r="AH117" s="69"/>
      <c r="AM117" s="69"/>
      <c r="AO117" s="69"/>
      <c r="AR117" s="69"/>
      <c r="AT117" s="69"/>
      <c r="BF117" s="69"/>
      <c r="BL117" s="147"/>
      <c r="BM117" s="147"/>
      <c r="BN117" s="147"/>
    </row>
    <row r="118" spans="7:66" s="134" customFormat="1" ht="13.15" customHeight="1" x14ac:dyDescent="0.25">
      <c r="G118" s="146"/>
      <c r="M118" s="69"/>
      <c r="O118" s="69"/>
      <c r="R118" s="69"/>
      <c r="T118" s="69"/>
      <c r="X118" s="167"/>
      <c r="Y118" s="167"/>
      <c r="AA118" s="69"/>
      <c r="AC118" s="69"/>
      <c r="AF118" s="69"/>
      <c r="AH118" s="69"/>
      <c r="AM118" s="69"/>
      <c r="AO118" s="69"/>
      <c r="AR118" s="69"/>
      <c r="AT118" s="69"/>
      <c r="BF118" s="69"/>
      <c r="BL118" s="147"/>
      <c r="BM118" s="147"/>
      <c r="BN118" s="147"/>
    </row>
    <row r="119" spans="7:66" s="134" customFormat="1" ht="13.15" customHeight="1" x14ac:dyDescent="0.25">
      <c r="G119" s="146"/>
      <c r="M119" s="69"/>
      <c r="O119" s="69"/>
      <c r="R119" s="69"/>
      <c r="T119" s="69"/>
      <c r="X119" s="167"/>
      <c r="Y119" s="167"/>
      <c r="AA119" s="69"/>
      <c r="AC119" s="69"/>
      <c r="AF119" s="69"/>
      <c r="AH119" s="69"/>
      <c r="AM119" s="69"/>
      <c r="AO119" s="69"/>
      <c r="AR119" s="69"/>
      <c r="AT119" s="69"/>
      <c r="BF119" s="69"/>
      <c r="BL119" s="147"/>
      <c r="BM119" s="147"/>
      <c r="BN119" s="147"/>
    </row>
    <row r="120" spans="7:66" s="134" customFormat="1" ht="13.15" customHeight="1" x14ac:dyDescent="0.25">
      <c r="G120" s="146"/>
      <c r="M120" s="69"/>
      <c r="O120" s="69"/>
      <c r="R120" s="69"/>
      <c r="T120" s="69"/>
      <c r="X120" s="167"/>
      <c r="Y120" s="167"/>
      <c r="AA120" s="69"/>
      <c r="AC120" s="69"/>
      <c r="AF120" s="69"/>
      <c r="AH120" s="69"/>
      <c r="AM120" s="69"/>
      <c r="AO120" s="69"/>
      <c r="AR120" s="69"/>
      <c r="AT120" s="69"/>
      <c r="BF120" s="69"/>
      <c r="BL120" s="147"/>
      <c r="BM120" s="147"/>
      <c r="BN120" s="147"/>
    </row>
    <row r="121" spans="7:66" s="134" customFormat="1" ht="13.15" customHeight="1" x14ac:dyDescent="0.25">
      <c r="G121" s="146"/>
      <c r="M121" s="69"/>
      <c r="O121" s="69"/>
      <c r="R121" s="69"/>
      <c r="T121" s="69"/>
      <c r="X121" s="167"/>
      <c r="Y121" s="167"/>
      <c r="AA121" s="69"/>
      <c r="AC121" s="69"/>
      <c r="AF121" s="69"/>
      <c r="AH121" s="69"/>
      <c r="AM121" s="69"/>
      <c r="AO121" s="69"/>
      <c r="AR121" s="69"/>
      <c r="AT121" s="69"/>
      <c r="BF121" s="69"/>
      <c r="BL121" s="147"/>
      <c r="BM121" s="147"/>
      <c r="BN121" s="147"/>
    </row>
    <row r="122" spans="7:66" s="134" customFormat="1" ht="13.15" customHeight="1" x14ac:dyDescent="0.25">
      <c r="G122" s="146"/>
      <c r="M122" s="69"/>
      <c r="O122" s="69"/>
      <c r="R122" s="69"/>
      <c r="T122" s="69"/>
      <c r="X122" s="167"/>
      <c r="Y122" s="167"/>
      <c r="AA122" s="69"/>
      <c r="AC122" s="69"/>
      <c r="AF122" s="69"/>
      <c r="AH122" s="69"/>
      <c r="AM122" s="69"/>
      <c r="AO122" s="69"/>
      <c r="AR122" s="69"/>
      <c r="AT122" s="69"/>
      <c r="BF122" s="69"/>
      <c r="BL122" s="147"/>
      <c r="BM122" s="147"/>
      <c r="BN122" s="147"/>
    </row>
    <row r="123" spans="7:66" s="134" customFormat="1" ht="13.15" customHeight="1" x14ac:dyDescent="0.25">
      <c r="G123" s="146"/>
      <c r="M123" s="69"/>
      <c r="O123" s="69"/>
      <c r="R123" s="69"/>
      <c r="T123" s="69"/>
      <c r="X123" s="167"/>
      <c r="Y123" s="167"/>
      <c r="AA123" s="69"/>
      <c r="AC123" s="69"/>
      <c r="AF123" s="69"/>
      <c r="AH123" s="69"/>
      <c r="AM123" s="69"/>
      <c r="AO123" s="69"/>
      <c r="AR123" s="69"/>
      <c r="AT123" s="69"/>
      <c r="BF123" s="69"/>
      <c r="BL123" s="147"/>
      <c r="BM123" s="147"/>
      <c r="BN123" s="147"/>
    </row>
    <row r="124" spans="7:66" s="134" customFormat="1" ht="12.75" customHeight="1" x14ac:dyDescent="0.25">
      <c r="G124" s="146"/>
      <c r="M124" s="69"/>
      <c r="O124" s="69"/>
      <c r="R124" s="69"/>
      <c r="T124" s="69"/>
      <c r="X124" s="167"/>
      <c r="Y124" s="167"/>
      <c r="AA124" s="69"/>
      <c r="AC124" s="69"/>
      <c r="AF124" s="69"/>
      <c r="AH124" s="69"/>
      <c r="AM124" s="69"/>
      <c r="AO124" s="69"/>
      <c r="AR124" s="69"/>
      <c r="AT124" s="69"/>
      <c r="BF124" s="69"/>
      <c r="BL124" s="147"/>
      <c r="BM124" s="147"/>
      <c r="BN124" s="147"/>
    </row>
    <row r="125" spans="7:66" s="134" customFormat="1" ht="13.15" customHeight="1" x14ac:dyDescent="0.25">
      <c r="G125" s="146"/>
      <c r="M125" s="69"/>
      <c r="O125" s="69"/>
      <c r="R125" s="69"/>
      <c r="T125" s="69"/>
      <c r="X125" s="167"/>
      <c r="Y125" s="167"/>
      <c r="AA125" s="69"/>
      <c r="AC125" s="69"/>
      <c r="AF125" s="69"/>
      <c r="AH125" s="69"/>
      <c r="AM125" s="69"/>
      <c r="AO125" s="69"/>
      <c r="AR125" s="69"/>
      <c r="AT125" s="69"/>
      <c r="BF125" s="69"/>
      <c r="BL125" s="147"/>
      <c r="BM125" s="147"/>
      <c r="BN125" s="147"/>
    </row>
    <row r="126" spans="7:66" s="134" customFormat="1" ht="13.15" customHeight="1" x14ac:dyDescent="0.25">
      <c r="G126" s="146"/>
      <c r="M126" s="69"/>
      <c r="O126" s="69"/>
      <c r="R126" s="69"/>
      <c r="T126" s="69"/>
      <c r="X126" s="167"/>
      <c r="Y126" s="167"/>
      <c r="AA126" s="69"/>
      <c r="AC126" s="69"/>
      <c r="AF126" s="69"/>
      <c r="AH126" s="69"/>
      <c r="AM126" s="69"/>
      <c r="AO126" s="69"/>
      <c r="AR126" s="69"/>
      <c r="AT126" s="69"/>
      <c r="BF126" s="69"/>
      <c r="BL126" s="147"/>
      <c r="BM126" s="147"/>
      <c r="BN126" s="147"/>
    </row>
    <row r="127" spans="7:66" s="134" customFormat="1" ht="13.15" customHeight="1" x14ac:dyDescent="0.25">
      <c r="G127" s="146"/>
      <c r="M127" s="69"/>
      <c r="O127" s="69"/>
      <c r="R127" s="69"/>
      <c r="T127" s="69"/>
      <c r="X127" s="167"/>
      <c r="Y127" s="167"/>
      <c r="AA127" s="69"/>
      <c r="AC127" s="69"/>
      <c r="AF127" s="69"/>
      <c r="AH127" s="69"/>
      <c r="AM127" s="69"/>
      <c r="AO127" s="69"/>
      <c r="AR127" s="69"/>
      <c r="AT127" s="69"/>
      <c r="BF127" s="69"/>
      <c r="BL127" s="147"/>
      <c r="BM127" s="147"/>
      <c r="BN127" s="147"/>
    </row>
    <row r="128" spans="7:66" s="134" customFormat="1" ht="15.6" customHeight="1" x14ac:dyDescent="0.25">
      <c r="G128" s="146"/>
      <c r="M128" s="69"/>
      <c r="O128" s="69"/>
      <c r="R128" s="69"/>
      <c r="T128" s="69"/>
      <c r="X128" s="167"/>
      <c r="Y128" s="167"/>
      <c r="AA128" s="69"/>
      <c r="AC128" s="69"/>
      <c r="AF128" s="69"/>
      <c r="AH128" s="69"/>
      <c r="AM128" s="69"/>
      <c r="AO128" s="69"/>
      <c r="AR128" s="69"/>
      <c r="AT128" s="69"/>
      <c r="BF128" s="69"/>
      <c r="BL128" s="147"/>
      <c r="BM128" s="147"/>
      <c r="BN128" s="147"/>
    </row>
    <row r="129" spans="7:66" s="134" customFormat="1" ht="13.15" customHeight="1" x14ac:dyDescent="0.25">
      <c r="G129" s="146"/>
      <c r="M129" s="69"/>
      <c r="O129" s="69"/>
      <c r="R129" s="69"/>
      <c r="T129" s="69"/>
      <c r="X129" s="167"/>
      <c r="Y129" s="167"/>
      <c r="AA129" s="69"/>
      <c r="AC129" s="69"/>
      <c r="AF129" s="69"/>
      <c r="AH129" s="69"/>
      <c r="AM129" s="69"/>
      <c r="AO129" s="69"/>
      <c r="AR129" s="69"/>
      <c r="AT129" s="69"/>
      <c r="BF129" s="69"/>
      <c r="BL129" s="147"/>
      <c r="BM129" s="147"/>
      <c r="BN129" s="147"/>
    </row>
    <row r="130" spans="7:66" s="134" customFormat="1" ht="13.15" customHeight="1" x14ac:dyDescent="0.25">
      <c r="G130" s="146"/>
      <c r="M130" s="69"/>
      <c r="O130" s="69"/>
      <c r="R130" s="69"/>
      <c r="T130" s="69"/>
      <c r="X130" s="167"/>
      <c r="Y130" s="167"/>
      <c r="AA130" s="69"/>
      <c r="AC130" s="69"/>
      <c r="AF130" s="69"/>
      <c r="AH130" s="69"/>
      <c r="AM130" s="69"/>
      <c r="AO130" s="69"/>
      <c r="AR130" s="69"/>
      <c r="AT130" s="69"/>
      <c r="BF130" s="69"/>
      <c r="BL130" s="147"/>
      <c r="BM130" s="147"/>
      <c r="BN130" s="147"/>
    </row>
    <row r="131" spans="7:66" s="134" customFormat="1" ht="13.15" customHeight="1" x14ac:dyDescent="0.25">
      <c r="G131" s="146"/>
      <c r="M131" s="69"/>
      <c r="O131" s="69"/>
      <c r="R131" s="69"/>
      <c r="T131" s="69"/>
      <c r="X131" s="167"/>
      <c r="Y131" s="167"/>
      <c r="AA131" s="69"/>
      <c r="AC131" s="69"/>
      <c r="AF131" s="69"/>
      <c r="AH131" s="69"/>
      <c r="AM131" s="69"/>
      <c r="AO131" s="69"/>
      <c r="AR131" s="69"/>
      <c r="AT131" s="69"/>
      <c r="BF131" s="69"/>
      <c r="BL131" s="147"/>
      <c r="BM131" s="147"/>
      <c r="BN131" s="147"/>
    </row>
    <row r="132" spans="7:66" s="134" customFormat="1" ht="13.15" customHeight="1" x14ac:dyDescent="0.25">
      <c r="G132" s="146"/>
      <c r="M132" s="69"/>
      <c r="O132" s="69"/>
      <c r="R132" s="69"/>
      <c r="T132" s="69"/>
      <c r="X132" s="167"/>
      <c r="Y132" s="167"/>
      <c r="AA132" s="69"/>
      <c r="AC132" s="69"/>
      <c r="AF132" s="69"/>
      <c r="AH132" s="69"/>
      <c r="AM132" s="69"/>
      <c r="AO132" s="69"/>
      <c r="AR132" s="69"/>
      <c r="AT132" s="69"/>
      <c r="BF132" s="69"/>
      <c r="BL132" s="147"/>
      <c r="BM132" s="147"/>
      <c r="BN132" s="147"/>
    </row>
    <row r="133" spans="7:66" s="134" customFormat="1" ht="13.15" customHeight="1" x14ac:dyDescent="0.25">
      <c r="G133" s="146"/>
      <c r="M133" s="69"/>
      <c r="O133" s="69"/>
      <c r="R133" s="69"/>
      <c r="T133" s="69"/>
      <c r="X133" s="167"/>
      <c r="Y133" s="167"/>
      <c r="AA133" s="69"/>
      <c r="AC133" s="69"/>
      <c r="AF133" s="69"/>
      <c r="AH133" s="69"/>
      <c r="AM133" s="69"/>
      <c r="AO133" s="69"/>
      <c r="AR133" s="69"/>
      <c r="AT133" s="69"/>
      <c r="BF133" s="69"/>
      <c r="BL133" s="147"/>
      <c r="BM133" s="147"/>
      <c r="BN133" s="147"/>
    </row>
    <row r="134" spans="7:66" s="134" customFormat="1" ht="13.15" customHeight="1" x14ac:dyDescent="0.25">
      <c r="G134" s="146"/>
      <c r="M134" s="69"/>
      <c r="O134" s="69"/>
      <c r="R134" s="69"/>
      <c r="T134" s="69"/>
      <c r="X134" s="167"/>
      <c r="Y134" s="167"/>
      <c r="AA134" s="69"/>
      <c r="AC134" s="69"/>
      <c r="AF134" s="69"/>
      <c r="AH134" s="69"/>
      <c r="AM134" s="69"/>
      <c r="AO134" s="69"/>
      <c r="AR134" s="69"/>
      <c r="AT134" s="69"/>
      <c r="BF134" s="69"/>
      <c r="BL134" s="147"/>
      <c r="BM134" s="147"/>
      <c r="BN134" s="147"/>
    </row>
    <row r="135" spans="7:66" s="134" customFormat="1" ht="13.15" customHeight="1" x14ac:dyDescent="0.25">
      <c r="G135" s="146"/>
      <c r="M135" s="69"/>
      <c r="O135" s="69"/>
      <c r="R135" s="69"/>
      <c r="T135" s="69"/>
      <c r="X135" s="167"/>
      <c r="Y135" s="167"/>
      <c r="AA135" s="69"/>
      <c r="AC135" s="69"/>
      <c r="AF135" s="69"/>
      <c r="AH135" s="69"/>
      <c r="AM135" s="69"/>
      <c r="AO135" s="69"/>
      <c r="AR135" s="69"/>
      <c r="AT135" s="69"/>
      <c r="BF135" s="69"/>
      <c r="BL135" s="147"/>
      <c r="BM135" s="147"/>
      <c r="BN135" s="147"/>
    </row>
    <row r="136" spans="7:66" s="134" customFormat="1" ht="13.15" customHeight="1" x14ac:dyDescent="0.25">
      <c r="G136" s="146"/>
      <c r="M136" s="69"/>
      <c r="O136" s="69"/>
      <c r="R136" s="69"/>
      <c r="T136" s="69"/>
      <c r="X136" s="167"/>
      <c r="Y136" s="167"/>
      <c r="AA136" s="69"/>
      <c r="AC136" s="69"/>
      <c r="AF136" s="69"/>
      <c r="AH136" s="69"/>
      <c r="AM136" s="69"/>
      <c r="AO136" s="69"/>
      <c r="AR136" s="69"/>
      <c r="AT136" s="69"/>
      <c r="BF136" s="69"/>
      <c r="BL136" s="147"/>
      <c r="BM136" s="147"/>
      <c r="BN136" s="147"/>
    </row>
    <row r="137" spans="7:66" s="134" customFormat="1" ht="13.15" customHeight="1" x14ac:dyDescent="0.25">
      <c r="G137" s="146"/>
      <c r="M137" s="69"/>
      <c r="O137" s="69"/>
      <c r="R137" s="69"/>
      <c r="T137" s="69"/>
      <c r="X137" s="167"/>
      <c r="Y137" s="167"/>
      <c r="AA137" s="69"/>
      <c r="AC137" s="69"/>
      <c r="AF137" s="69"/>
      <c r="AH137" s="69"/>
      <c r="AM137" s="69"/>
      <c r="AO137" s="69"/>
      <c r="AR137" s="69"/>
      <c r="AT137" s="69"/>
      <c r="BF137" s="69"/>
      <c r="BL137" s="147"/>
      <c r="BM137" s="147"/>
      <c r="BN137" s="147"/>
    </row>
    <row r="138" spans="7:66" s="134" customFormat="1" ht="13.15" customHeight="1" x14ac:dyDescent="0.25">
      <c r="G138" s="146"/>
      <c r="M138" s="69"/>
      <c r="O138" s="69"/>
      <c r="R138" s="69"/>
      <c r="T138" s="69"/>
      <c r="X138" s="167"/>
      <c r="Y138" s="167"/>
      <c r="AA138" s="69"/>
      <c r="AC138" s="69"/>
      <c r="AF138" s="69"/>
      <c r="AH138" s="69"/>
      <c r="AM138" s="69"/>
      <c r="AO138" s="69"/>
      <c r="AR138" s="69"/>
      <c r="AT138" s="69"/>
      <c r="BF138" s="69"/>
      <c r="BL138" s="147"/>
      <c r="BM138" s="147"/>
      <c r="BN138" s="147"/>
    </row>
    <row r="139" spans="7:66" s="134" customFormat="1" ht="13.15" customHeight="1" x14ac:dyDescent="0.25">
      <c r="G139" s="146"/>
      <c r="M139" s="69"/>
      <c r="O139" s="69"/>
      <c r="R139" s="69"/>
      <c r="T139" s="69"/>
      <c r="X139" s="167"/>
      <c r="Y139" s="167"/>
      <c r="AA139" s="69"/>
      <c r="AC139" s="69"/>
      <c r="AF139" s="69"/>
      <c r="AH139" s="69"/>
      <c r="AM139" s="69"/>
      <c r="AO139" s="69"/>
      <c r="AR139" s="69"/>
      <c r="AT139" s="69"/>
      <c r="BF139" s="69"/>
      <c r="BL139" s="147"/>
      <c r="BM139" s="147"/>
      <c r="BN139" s="147"/>
    </row>
    <row r="140" spans="7:66" s="62" customFormat="1" x14ac:dyDescent="0.2">
      <c r="G140" s="71"/>
      <c r="X140" s="161"/>
      <c r="Y140" s="161"/>
      <c r="BL140" s="145"/>
      <c r="BM140" s="145"/>
      <c r="BN140" s="145"/>
    </row>
    <row r="141" spans="7:66" s="62" customFormat="1" x14ac:dyDescent="0.2">
      <c r="G141" s="71"/>
      <c r="X141" s="161"/>
      <c r="Y141" s="161"/>
      <c r="BL141" s="145"/>
      <c r="BM141" s="145"/>
      <c r="BN141" s="145"/>
    </row>
    <row r="142" spans="7:66" s="62" customFormat="1" x14ac:dyDescent="0.2">
      <c r="G142" s="71"/>
      <c r="X142" s="161"/>
      <c r="Y142" s="161"/>
      <c r="BL142" s="145"/>
      <c r="BM142" s="145"/>
      <c r="BN142" s="145"/>
    </row>
    <row r="143" spans="7:66" s="62" customFormat="1" x14ac:dyDescent="0.2">
      <c r="G143" s="71"/>
      <c r="X143" s="161"/>
      <c r="Y143" s="161"/>
      <c r="BL143" s="145"/>
      <c r="BM143" s="145"/>
      <c r="BN143" s="145"/>
    </row>
    <row r="144" spans="7:66" s="135" customFormat="1" ht="15.75" x14ac:dyDescent="0.25">
      <c r="G144" s="71"/>
      <c r="M144" s="62"/>
      <c r="O144" s="62"/>
      <c r="R144" s="62"/>
      <c r="T144" s="62"/>
      <c r="X144" s="166"/>
      <c r="Y144" s="166"/>
      <c r="AA144" s="62"/>
      <c r="AC144" s="62"/>
      <c r="AF144" s="62"/>
      <c r="AH144" s="62"/>
      <c r="AM144" s="62"/>
      <c r="AO144" s="62"/>
      <c r="AR144" s="62"/>
      <c r="AT144" s="62"/>
      <c r="BF144" s="62"/>
      <c r="BL144" s="145"/>
      <c r="BM144" s="145"/>
      <c r="BN144" s="145"/>
    </row>
    <row r="145" spans="7:66" s="62" customFormat="1" x14ac:dyDescent="0.2">
      <c r="G145" s="71"/>
      <c r="X145" s="161"/>
      <c r="Y145" s="161"/>
      <c r="BL145" s="145"/>
      <c r="BM145" s="145"/>
      <c r="BN145" s="145"/>
    </row>
    <row r="146" spans="7:66" s="62" customFormat="1" x14ac:dyDescent="0.2">
      <c r="G146" s="71"/>
      <c r="X146" s="161"/>
      <c r="Y146" s="161"/>
      <c r="BL146" s="145"/>
      <c r="BM146" s="145"/>
      <c r="BN146" s="145"/>
    </row>
  </sheetData>
  <mergeCells count="34">
    <mergeCell ref="BF8:BJ8"/>
    <mergeCell ref="BY10:CA10"/>
    <mergeCell ref="AM8:AN8"/>
    <mergeCell ref="AO8:AP8"/>
    <mergeCell ref="AQ8:AQ9"/>
    <mergeCell ref="AR8:AS8"/>
    <mergeCell ref="AT8:AU8"/>
    <mergeCell ref="AV8:AV9"/>
    <mergeCell ref="AA8:AB8"/>
    <mergeCell ref="AC8:AD8"/>
    <mergeCell ref="AE8:AE9"/>
    <mergeCell ref="AF8:AG8"/>
    <mergeCell ref="AH8:AI8"/>
    <mergeCell ref="O8:P8"/>
    <mergeCell ref="Q8:Q9"/>
    <mergeCell ref="R8:S8"/>
    <mergeCell ref="T8:U8"/>
    <mergeCell ref="V8:V9"/>
    <mergeCell ref="A1:F1"/>
    <mergeCell ref="A2:F2"/>
    <mergeCell ref="A4:C9"/>
    <mergeCell ref="H5:BP5"/>
    <mergeCell ref="M6:V6"/>
    <mergeCell ref="AA6:AJ6"/>
    <mergeCell ref="AM6:AV6"/>
    <mergeCell ref="M7:Q7"/>
    <mergeCell ref="R7:V7"/>
    <mergeCell ref="AA7:AE7"/>
    <mergeCell ref="AJ8:AJ9"/>
    <mergeCell ref="AF7:AJ7"/>
    <mergeCell ref="AM7:AQ7"/>
    <mergeCell ref="AR7:AV7"/>
    <mergeCell ref="I8:K8"/>
    <mergeCell ref="M8:N8"/>
  </mergeCells>
  <conditionalFormatting sqref="BM13:BM24">
    <cfRule type="cellIs" dxfId="2" priority="3" operator="greaterThan">
      <formula>0</formula>
    </cfRule>
  </conditionalFormatting>
  <conditionalFormatting sqref="BM26:BM39">
    <cfRule type="cellIs" dxfId="1" priority="2" operator="greaterThan">
      <formula>0</formula>
    </cfRule>
  </conditionalFormatting>
  <conditionalFormatting sqref="BM41:BM59">
    <cfRule type="cellIs" dxfId="0" priority="1" operator="greaterThan">
      <formula>0</formula>
    </cfRule>
  </conditionalFormatting>
  <pageMargins left="1" right="0.75" top="1" bottom="1" header="0.5" footer="0.5"/>
  <pageSetup paperSize="5" scale="62" fitToHeight="0" orientation="portrait" horizontalDpi="300" verticalDpi="300" r:id="rId1"/>
  <headerFooter alignWithMargins="0"/>
  <colBreaks count="1" manualBreakCount="1">
    <brk id="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BQ146"/>
  <sheetViews>
    <sheetView tabSelected="1" topLeftCell="A4" zoomScaleNormal="100" workbookViewId="0">
      <pane xSplit="3" ySplit="9" topLeftCell="I40" activePane="bottomRight" state="frozen"/>
      <selection activeCell="A4" sqref="A4"/>
      <selection pane="topRight" activeCell="D4" sqref="D4"/>
      <selection pane="bottomLeft" activeCell="A10" sqref="A10"/>
      <selection pane="bottomRight" activeCell="S48" sqref="S48"/>
    </sheetView>
  </sheetViews>
  <sheetFormatPr defaultColWidth="9.140625" defaultRowHeight="15" x14ac:dyDescent="0.2"/>
  <cols>
    <col min="1" max="2" width="4.140625" style="59" customWidth="1"/>
    <col min="3" max="3" width="15.140625" style="59" customWidth="1"/>
    <col min="4" max="4" width="10.85546875" style="62" hidden="1" customWidth="1"/>
    <col min="5" max="5" width="12.7109375" style="62" hidden="1" customWidth="1"/>
    <col min="6" max="6" width="11.85546875" style="62" hidden="1" customWidth="1"/>
    <col min="7" max="7" width="14.28515625" style="58" hidden="1" customWidth="1"/>
    <col min="8" max="8" width="10.28515625" style="59" hidden="1" customWidth="1"/>
    <col min="9" max="9" width="8" style="60" customWidth="1"/>
    <col min="10" max="10" width="12.7109375" style="59" hidden="1" customWidth="1"/>
    <col min="11" max="11" width="8" style="60" customWidth="1"/>
    <col min="12" max="12" width="10.5703125" style="62" customWidth="1"/>
    <col min="13" max="13" width="9.85546875" style="161" customWidth="1"/>
    <col min="14" max="14" width="10.7109375" style="161" customWidth="1"/>
    <col min="15" max="15" width="9.85546875" style="161" customWidth="1"/>
    <col min="16" max="16" width="6.28515625" style="105" customWidth="1"/>
    <col min="17" max="17" width="11.28515625" style="62" customWidth="1"/>
    <col min="18" max="18" width="3.140625" style="62" customWidth="1"/>
    <col min="19" max="19" width="7.140625" style="61" customWidth="1"/>
    <col min="20" max="20" width="8" style="61" customWidth="1"/>
    <col min="21" max="21" width="8" style="61" hidden="1" customWidth="1"/>
    <col min="22" max="22" width="12.85546875" style="61" customWidth="1"/>
    <col min="23" max="23" width="7.28515625" style="61" customWidth="1"/>
    <col min="24" max="24" width="8" style="61" customWidth="1"/>
    <col min="25" max="25" width="7.85546875" style="61" customWidth="1"/>
    <col min="26" max="26" width="8" style="61" hidden="1" customWidth="1"/>
    <col min="27" max="27" width="13.7109375" style="61" customWidth="1"/>
    <col min="28" max="28" width="8" style="61" customWidth="1"/>
    <col min="29" max="29" width="8.42578125" style="61" customWidth="1"/>
    <col min="30" max="30" width="3.42578125" style="62" customWidth="1"/>
    <col min="31" max="31" width="8" style="63" customWidth="1"/>
    <col min="32" max="32" width="8.7109375" style="63" customWidth="1"/>
    <col min="33" max="33" width="8" style="63" hidden="1" customWidth="1"/>
    <col min="34" max="34" width="12.28515625" style="63" customWidth="1"/>
    <col min="35" max="35" width="8.7109375" style="63" customWidth="1"/>
    <col min="36" max="36" width="8" style="63" customWidth="1"/>
    <col min="37" max="37" width="8.7109375" style="63" customWidth="1"/>
    <col min="38" max="38" width="8" style="63" hidden="1" customWidth="1"/>
    <col min="39" max="39" width="13.7109375" style="63" customWidth="1"/>
    <col min="40" max="41" width="8.7109375" style="63" customWidth="1"/>
    <col min="42" max="42" width="2.7109375" style="62" customWidth="1"/>
    <col min="43" max="44" width="8.140625" style="64" customWidth="1"/>
    <col min="45" max="45" width="8.140625" style="64" hidden="1" customWidth="1"/>
    <col min="46" max="49" width="8.140625" style="64" customWidth="1"/>
    <col min="50" max="50" width="8.140625" style="64" hidden="1" customWidth="1"/>
    <col min="51" max="53" width="8.140625" style="64" customWidth="1"/>
    <col min="54" max="54" width="3" style="62" customWidth="1"/>
    <col min="55" max="55" width="46.42578125" style="66" customWidth="1"/>
    <col min="56" max="56" width="46.42578125" style="145" customWidth="1"/>
    <col min="57" max="58" width="9.28515625" style="59" bestFit="1" customWidth="1"/>
    <col min="59" max="64" width="9.140625" style="59"/>
    <col min="65" max="65" width="12" style="59" customWidth="1"/>
    <col min="66" max="66" width="11.28515625" style="59" bestFit="1" customWidth="1"/>
    <col min="67" max="67" width="12.7109375" style="59" customWidth="1"/>
    <col min="68" max="16384" width="9.140625" style="59"/>
  </cols>
  <sheetData>
    <row r="1" spans="1:69" ht="15.75" x14ac:dyDescent="0.25">
      <c r="A1" s="186" t="s">
        <v>0</v>
      </c>
      <c r="B1" s="186"/>
      <c r="C1" s="186"/>
      <c r="D1" s="186"/>
      <c r="E1" s="186"/>
      <c r="F1" s="186"/>
    </row>
    <row r="2" spans="1:69" x14ac:dyDescent="0.2">
      <c r="A2" s="187" t="s">
        <v>1</v>
      </c>
      <c r="B2" s="187"/>
      <c r="C2" s="187"/>
      <c r="D2" s="187"/>
      <c r="E2" s="187"/>
      <c r="F2" s="187"/>
    </row>
    <row r="3" spans="1:69" ht="15.75" thickBot="1" x14ac:dyDescent="0.25">
      <c r="A3" s="68"/>
      <c r="B3" s="68"/>
      <c r="C3" s="68"/>
      <c r="D3" s="68"/>
      <c r="E3" s="68"/>
      <c r="F3" s="68"/>
      <c r="G3" s="58">
        <v>2892</v>
      </c>
    </row>
    <row r="4" spans="1:69" ht="12.75" hidden="1" customHeight="1" x14ac:dyDescent="0.2">
      <c r="A4" s="188" t="s">
        <v>2</v>
      </c>
      <c r="B4" s="188"/>
      <c r="C4" s="188"/>
      <c r="D4" s="69"/>
      <c r="E4" s="69"/>
      <c r="F4" s="69"/>
    </row>
    <row r="5" spans="1:69" ht="15.75" hidden="1" thickBot="1" x14ac:dyDescent="0.25">
      <c r="A5" s="188"/>
      <c r="B5" s="188"/>
      <c r="C5" s="188"/>
      <c r="D5" s="70" t="s">
        <v>3</v>
      </c>
      <c r="E5" s="70" t="s">
        <v>4</v>
      </c>
      <c r="F5" s="70" t="s">
        <v>5</v>
      </c>
      <c r="G5" s="71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90"/>
      <c r="AD5" s="190"/>
      <c r="AE5" s="189"/>
      <c r="AF5" s="189"/>
      <c r="AG5" s="189"/>
      <c r="AH5" s="189"/>
      <c r="AI5" s="189"/>
      <c r="AJ5" s="189"/>
      <c r="AK5" s="189"/>
      <c r="AL5" s="189"/>
      <c r="AM5" s="189"/>
      <c r="AN5" s="189"/>
      <c r="AO5" s="190"/>
      <c r="AP5" s="189"/>
      <c r="AQ5" s="189"/>
      <c r="AR5" s="189"/>
      <c r="AS5" s="189"/>
      <c r="AT5" s="189"/>
      <c r="AU5" s="189"/>
      <c r="AV5" s="189"/>
      <c r="AW5" s="189"/>
      <c r="AX5" s="189"/>
      <c r="AY5" s="189"/>
      <c r="AZ5" s="189"/>
      <c r="BA5" s="190"/>
      <c r="BB5" s="189"/>
      <c r="BC5" s="189"/>
      <c r="BD5" s="189"/>
      <c r="BE5" s="189"/>
      <c r="BF5" s="189"/>
    </row>
    <row r="6" spans="1:69" ht="15.75" x14ac:dyDescent="0.25">
      <c r="A6" s="188"/>
      <c r="B6" s="188"/>
      <c r="C6" s="188"/>
      <c r="D6" s="70"/>
      <c r="E6" s="70"/>
      <c r="F6" s="70"/>
      <c r="G6" s="71"/>
      <c r="H6" s="70"/>
      <c r="I6" s="70"/>
      <c r="J6" s="70"/>
      <c r="K6" s="70"/>
      <c r="L6" s="159"/>
      <c r="M6" s="176"/>
      <c r="N6" s="176"/>
      <c r="O6" s="176"/>
      <c r="P6" s="171" t="s">
        <v>136</v>
      </c>
      <c r="Q6" s="152"/>
      <c r="R6" s="70"/>
      <c r="S6" s="197" t="s">
        <v>126</v>
      </c>
      <c r="T6" s="197"/>
      <c r="U6" s="197"/>
      <c r="V6" s="197"/>
      <c r="W6" s="197"/>
      <c r="X6" s="197"/>
      <c r="Y6" s="197"/>
      <c r="Z6" s="197"/>
      <c r="AA6" s="197"/>
      <c r="AB6" s="198"/>
      <c r="AC6" s="154" t="s">
        <v>124</v>
      </c>
      <c r="AD6" s="159"/>
      <c r="AE6" s="199" t="s">
        <v>121</v>
      </c>
      <c r="AF6" s="199"/>
      <c r="AG6" s="199"/>
      <c r="AH6" s="199"/>
      <c r="AI6" s="199"/>
      <c r="AJ6" s="199"/>
      <c r="AK6" s="199"/>
      <c r="AL6" s="199"/>
      <c r="AM6" s="199"/>
      <c r="AN6" s="201"/>
      <c r="AO6" s="157" t="s">
        <v>124</v>
      </c>
      <c r="AP6" s="148"/>
      <c r="AQ6" s="195" t="s">
        <v>125</v>
      </c>
      <c r="AR6" s="195"/>
      <c r="AS6" s="195"/>
      <c r="AT6" s="195"/>
      <c r="AU6" s="195"/>
      <c r="AV6" s="195"/>
      <c r="AW6" s="195"/>
      <c r="AX6" s="195"/>
      <c r="AY6" s="195"/>
      <c r="AZ6" s="196"/>
      <c r="BA6" s="158" t="s">
        <v>124</v>
      </c>
      <c r="BB6" s="148"/>
      <c r="BC6" s="70"/>
      <c r="BD6" s="72"/>
      <c r="BE6" s="70"/>
      <c r="BF6" s="70"/>
    </row>
    <row r="7" spans="1:69" ht="16.5" thickBot="1" x14ac:dyDescent="0.3">
      <c r="A7" s="188"/>
      <c r="B7" s="188"/>
      <c r="C7" s="188"/>
      <c r="D7" s="70"/>
      <c r="E7" s="70"/>
      <c r="F7" s="70"/>
      <c r="G7" s="71"/>
      <c r="H7" s="70"/>
      <c r="I7" s="95">
        <v>2886</v>
      </c>
      <c r="J7" s="144"/>
      <c r="K7" s="95">
        <v>1670</v>
      </c>
      <c r="L7" s="160"/>
      <c r="M7" s="177"/>
      <c r="N7" s="177"/>
      <c r="O7" s="177"/>
      <c r="P7" s="172">
        <f>2230-P10</f>
        <v>2197</v>
      </c>
      <c r="Q7" s="149"/>
      <c r="R7" s="144"/>
      <c r="S7" s="197" t="s">
        <v>116</v>
      </c>
      <c r="T7" s="197"/>
      <c r="U7" s="197"/>
      <c r="V7" s="197"/>
      <c r="W7" s="197"/>
      <c r="X7" s="197" t="s">
        <v>107</v>
      </c>
      <c r="Y7" s="197"/>
      <c r="Z7" s="197"/>
      <c r="AA7" s="197"/>
      <c r="AB7" s="198"/>
      <c r="AC7" s="155">
        <f>2230-AC10</f>
        <v>26.980000000000018</v>
      </c>
      <c r="AD7" s="160"/>
      <c r="AE7" s="199" t="s">
        <v>116</v>
      </c>
      <c r="AF7" s="199"/>
      <c r="AG7" s="199"/>
      <c r="AH7" s="199"/>
      <c r="AI7" s="199"/>
      <c r="AJ7" s="199" t="s">
        <v>107</v>
      </c>
      <c r="AK7" s="199"/>
      <c r="AL7" s="199"/>
      <c r="AM7" s="199"/>
      <c r="AN7" s="201"/>
      <c r="AO7" s="155">
        <f>656-AO10</f>
        <v>0</v>
      </c>
      <c r="AP7" s="152"/>
      <c r="AQ7" s="202" t="s">
        <v>116</v>
      </c>
      <c r="AR7" s="202"/>
      <c r="AS7" s="202"/>
      <c r="AT7" s="202"/>
      <c r="AU7" s="202"/>
      <c r="AV7" s="202" t="s">
        <v>107</v>
      </c>
      <c r="AW7" s="202"/>
      <c r="AX7" s="202"/>
      <c r="AY7" s="202"/>
      <c r="AZ7" s="203"/>
      <c r="BA7" s="155">
        <f>1670-BA10</f>
        <v>721.7833333333333</v>
      </c>
      <c r="BB7" s="149"/>
      <c r="BC7" s="70"/>
      <c r="BD7" s="72"/>
      <c r="BE7" s="70"/>
      <c r="BF7" s="70"/>
    </row>
    <row r="8" spans="1:69" ht="25.5" customHeight="1" x14ac:dyDescent="0.2">
      <c r="A8" s="188"/>
      <c r="B8" s="188"/>
      <c r="C8" s="188"/>
      <c r="D8" s="70"/>
      <c r="E8" s="70"/>
      <c r="F8" s="70"/>
      <c r="G8" s="71"/>
      <c r="H8" s="70"/>
      <c r="I8" s="204" t="s">
        <v>86</v>
      </c>
      <c r="J8" s="205"/>
      <c r="K8" s="206"/>
      <c r="L8" s="178" t="s">
        <v>137</v>
      </c>
      <c r="M8" s="217" t="s">
        <v>135</v>
      </c>
      <c r="N8" s="218"/>
      <c r="O8" s="219" t="s">
        <v>128</v>
      </c>
      <c r="P8" s="220"/>
      <c r="Q8" s="75"/>
      <c r="R8" s="151"/>
      <c r="S8" s="207" t="s">
        <v>115</v>
      </c>
      <c r="T8" s="207"/>
      <c r="U8" s="207" t="s">
        <v>117</v>
      </c>
      <c r="V8" s="207"/>
      <c r="W8" s="208" t="s">
        <v>118</v>
      </c>
      <c r="X8" s="209" t="s">
        <v>115</v>
      </c>
      <c r="Y8" s="209"/>
      <c r="Z8" s="207" t="s">
        <v>117</v>
      </c>
      <c r="AA8" s="207"/>
      <c r="AB8" s="208" t="s">
        <v>118</v>
      </c>
      <c r="AC8" s="153"/>
      <c r="AD8" s="178"/>
      <c r="AE8" s="210" t="s">
        <v>115</v>
      </c>
      <c r="AF8" s="210"/>
      <c r="AG8" s="210" t="s">
        <v>117</v>
      </c>
      <c r="AH8" s="210"/>
      <c r="AI8" s="200" t="s">
        <v>118</v>
      </c>
      <c r="AJ8" s="211" t="s">
        <v>115</v>
      </c>
      <c r="AK8" s="211"/>
      <c r="AL8" s="210" t="s">
        <v>117</v>
      </c>
      <c r="AM8" s="210"/>
      <c r="AN8" s="200" t="s">
        <v>118</v>
      </c>
      <c r="AO8" s="156"/>
      <c r="AP8" s="75"/>
      <c r="AQ8" s="214" t="s">
        <v>115</v>
      </c>
      <c r="AR8" s="214"/>
      <c r="AS8" s="214" t="s">
        <v>117</v>
      </c>
      <c r="AT8" s="214"/>
      <c r="AU8" s="215" t="s">
        <v>118</v>
      </c>
      <c r="AV8" s="216" t="s">
        <v>115</v>
      </c>
      <c r="AW8" s="216"/>
      <c r="AX8" s="214" t="s">
        <v>117</v>
      </c>
      <c r="AY8" s="214"/>
      <c r="AZ8" s="215" t="s">
        <v>118</v>
      </c>
      <c r="BA8" s="150"/>
      <c r="BB8" s="75"/>
      <c r="BC8" s="83"/>
      <c r="BD8" s="83"/>
      <c r="BE8" s="70"/>
      <c r="BF8" s="70"/>
    </row>
    <row r="9" spans="1:69" ht="25.5" x14ac:dyDescent="0.2">
      <c r="A9" s="188"/>
      <c r="B9" s="188"/>
      <c r="C9" s="188"/>
      <c r="D9" s="70"/>
      <c r="E9" s="70"/>
      <c r="F9" s="70"/>
      <c r="H9" s="59" t="s">
        <v>6</v>
      </c>
      <c r="I9" s="84" t="s">
        <v>80</v>
      </c>
      <c r="J9" s="59" t="s">
        <v>7</v>
      </c>
      <c r="K9" s="84" t="s">
        <v>81</v>
      </c>
      <c r="L9" s="75"/>
      <c r="M9" s="173" t="s">
        <v>134</v>
      </c>
      <c r="N9" s="173" t="s">
        <v>133</v>
      </c>
      <c r="O9" s="174" t="s">
        <v>130</v>
      </c>
      <c r="P9" s="175" t="s">
        <v>131</v>
      </c>
      <c r="Q9" s="75" t="s">
        <v>132</v>
      </c>
      <c r="R9" s="75"/>
      <c r="S9" s="85" t="s">
        <v>79</v>
      </c>
      <c r="T9" s="86" t="s">
        <v>119</v>
      </c>
      <c r="U9" s="85" t="s">
        <v>79</v>
      </c>
      <c r="V9" s="86" t="s">
        <v>119</v>
      </c>
      <c r="W9" s="208"/>
      <c r="X9" s="85" t="s">
        <v>79</v>
      </c>
      <c r="Y9" s="86" t="s">
        <v>119</v>
      </c>
      <c r="Z9" s="85" t="s">
        <v>79</v>
      </c>
      <c r="AA9" s="86" t="s">
        <v>119</v>
      </c>
      <c r="AB9" s="208"/>
      <c r="AC9" s="74" t="s">
        <v>120</v>
      </c>
      <c r="AD9" s="75"/>
      <c r="AE9" s="87" t="s">
        <v>79</v>
      </c>
      <c r="AF9" s="88" t="s">
        <v>119</v>
      </c>
      <c r="AG9" s="87" t="s">
        <v>79</v>
      </c>
      <c r="AH9" s="88" t="s">
        <v>119</v>
      </c>
      <c r="AI9" s="200"/>
      <c r="AJ9" s="87" t="s">
        <v>79</v>
      </c>
      <c r="AK9" s="88" t="s">
        <v>119</v>
      </c>
      <c r="AL9" s="87" t="s">
        <v>79</v>
      </c>
      <c r="AM9" s="88" t="s">
        <v>119</v>
      </c>
      <c r="AN9" s="200"/>
      <c r="AO9" s="76" t="s">
        <v>120</v>
      </c>
      <c r="AP9" s="75"/>
      <c r="AQ9" s="89" t="s">
        <v>79</v>
      </c>
      <c r="AR9" s="90" t="s">
        <v>119</v>
      </c>
      <c r="AS9" s="89" t="s">
        <v>79</v>
      </c>
      <c r="AT9" s="90" t="s">
        <v>119</v>
      </c>
      <c r="AU9" s="215"/>
      <c r="AV9" s="89" t="s">
        <v>79</v>
      </c>
      <c r="AW9" s="90" t="s">
        <v>119</v>
      </c>
      <c r="AX9" s="89" t="s">
        <v>79</v>
      </c>
      <c r="AY9" s="90" t="s">
        <v>119</v>
      </c>
      <c r="AZ9" s="215"/>
      <c r="BA9" s="77" t="s">
        <v>120</v>
      </c>
      <c r="BB9" s="75"/>
      <c r="BC9" s="83" t="s">
        <v>89</v>
      </c>
      <c r="BD9" s="83"/>
    </row>
    <row r="10" spans="1:69" s="136" customFormat="1" ht="18" x14ac:dyDescent="0.25">
      <c r="A10" s="136" t="s">
        <v>8</v>
      </c>
      <c r="B10" s="137"/>
      <c r="C10" s="137">
        <v>45</v>
      </c>
      <c r="D10" s="138">
        <v>23041.438583801275</v>
      </c>
      <c r="E10" s="138">
        <v>24336.071416198702</v>
      </c>
      <c r="F10" s="138">
        <v>47377.51</v>
      </c>
      <c r="G10" s="139"/>
      <c r="H10" s="140">
        <f>SUM(H13:H59)</f>
        <v>2891.8518915952554</v>
      </c>
      <c r="I10" s="140">
        <f>SUM(I11+I25+I40)</f>
        <v>2886</v>
      </c>
      <c r="J10" s="141">
        <f>SUM(J13:J59)</f>
        <v>1669.8446261978138</v>
      </c>
      <c r="K10" s="140">
        <f>SUM(K11+K25+K40)</f>
        <v>1670</v>
      </c>
      <c r="L10" s="140"/>
      <c r="M10" s="180"/>
      <c r="N10" s="180"/>
      <c r="O10" s="180"/>
      <c r="P10" s="168">
        <f>SUM(P11+P25+P40)</f>
        <v>33</v>
      </c>
      <c r="Q10" s="140"/>
      <c r="R10" s="140"/>
      <c r="S10" s="141"/>
      <c r="T10" s="140">
        <f>SUM(T11+T25+T40)</f>
        <v>1073.9349999999999</v>
      </c>
      <c r="U10" s="141"/>
      <c r="V10" s="140">
        <f>SUM(V11+V25+V40)</f>
        <v>29.085000000000001</v>
      </c>
      <c r="W10" s="140">
        <f>SUM(W11+W25+W40)</f>
        <v>1103.02</v>
      </c>
      <c r="X10" s="141"/>
      <c r="Y10" s="140">
        <f>SUM(Y11+Y25+Y40)</f>
        <v>0</v>
      </c>
      <c r="Z10" s="141"/>
      <c r="AA10" s="140">
        <f>SUM(AA11+AA25+AA40)</f>
        <v>1100</v>
      </c>
      <c r="AB10" s="140">
        <f>SUM(AB11+AB25+AB40)</f>
        <v>1100</v>
      </c>
      <c r="AC10" s="140">
        <f>SUM(AC11+AC25+AC40)</f>
        <v>2203.02</v>
      </c>
      <c r="AD10" s="140"/>
      <c r="AE10" s="141"/>
      <c r="AF10" s="140">
        <f>SUM(AF11+AF25+AF40)</f>
        <v>197</v>
      </c>
      <c r="AG10" s="141"/>
      <c r="AH10" s="140">
        <f>SUM(AH11+AH25+AH40)</f>
        <v>171</v>
      </c>
      <c r="AI10" s="140">
        <f>SUM(AI11+AI25+AI40)</f>
        <v>368</v>
      </c>
      <c r="AJ10" s="141"/>
      <c r="AK10" s="140">
        <f>SUM(AK11+AK25+AK40)</f>
        <v>0</v>
      </c>
      <c r="AL10" s="141"/>
      <c r="AM10" s="140">
        <f>SUM(AM11+AM25+AM40)</f>
        <v>288</v>
      </c>
      <c r="AN10" s="140">
        <f>SUM(AN11+AN25+AN40)</f>
        <v>288</v>
      </c>
      <c r="AO10" s="140">
        <f>SUM(AO11+AO25+AO40)</f>
        <v>656</v>
      </c>
      <c r="AP10" s="140"/>
      <c r="AQ10" s="141"/>
      <c r="AR10" s="140">
        <f>SUM(AR11+AR25+AR40)</f>
        <v>945.2166666666667</v>
      </c>
      <c r="AS10" s="141"/>
      <c r="AT10" s="140">
        <f>SUM(AT11+AT25+AT40)</f>
        <v>3</v>
      </c>
      <c r="AU10" s="140">
        <f>SUM(AU11+AU25+AU40)</f>
        <v>948.2166666666667</v>
      </c>
      <c r="AV10" s="141"/>
      <c r="AW10" s="140">
        <f>SUM(AW11+AW25+AW40)</f>
        <v>0</v>
      </c>
      <c r="AX10" s="141"/>
      <c r="AY10" s="140">
        <f>SUM(AY11+AY25+AY40)</f>
        <v>0</v>
      </c>
      <c r="AZ10" s="140">
        <f>SUM(AZ11+AZ25+AZ40)</f>
        <v>0</v>
      </c>
      <c r="BA10" s="140">
        <f>SUM(BA11+BA25+BA40)</f>
        <v>948.2166666666667</v>
      </c>
      <c r="BB10" s="140"/>
      <c r="BC10" s="140"/>
      <c r="BD10" s="140"/>
      <c r="BE10" s="143" t="s">
        <v>9</v>
      </c>
      <c r="BF10" s="143"/>
      <c r="BG10" s="143"/>
      <c r="BH10" s="143"/>
      <c r="BI10" s="143"/>
      <c r="BJ10" s="143"/>
      <c r="BK10" s="143"/>
      <c r="BL10" s="143" t="s">
        <v>10</v>
      </c>
      <c r="BM10" s="143" t="s">
        <v>11</v>
      </c>
      <c r="BN10" s="143" t="s">
        <v>12</v>
      </c>
      <c r="BO10" s="213" t="s">
        <v>13</v>
      </c>
      <c r="BP10" s="213"/>
      <c r="BQ10" s="213"/>
    </row>
    <row r="11" spans="1:69" s="100" customFormat="1" ht="18" x14ac:dyDescent="0.25">
      <c r="A11" s="99" t="s">
        <v>14</v>
      </c>
      <c r="C11" s="101">
        <v>12</v>
      </c>
      <c r="D11" s="102">
        <v>1141.9625725706671</v>
      </c>
      <c r="E11" s="102">
        <v>4227.5374274293326</v>
      </c>
      <c r="F11" s="102">
        <v>5369.5</v>
      </c>
      <c r="G11" s="103">
        <f>F11/47378</f>
        <v>0.11333319262104774</v>
      </c>
      <c r="I11" s="104">
        <f>SUM(I13:I24)</f>
        <v>325</v>
      </c>
      <c r="K11" s="104">
        <f>SUM(K13:K24)</f>
        <v>189</v>
      </c>
      <c r="L11" s="104"/>
      <c r="M11" s="104"/>
      <c r="N11" s="104"/>
      <c r="P11" s="104">
        <f>SUM(P13:P24)</f>
        <v>0</v>
      </c>
      <c r="Q11" s="104"/>
      <c r="R11" s="104"/>
      <c r="T11" s="104">
        <f>SUM(T13:T24)</f>
        <v>211.7525</v>
      </c>
      <c r="V11" s="104">
        <f>SUM(V13:V24)</f>
        <v>17.997500000000002</v>
      </c>
      <c r="W11" s="104">
        <f>SUM(W13:W24)</f>
        <v>229.75</v>
      </c>
      <c r="Y11" s="104">
        <f>SUM(Y13:Y24)</f>
        <v>0</v>
      </c>
      <c r="AA11" s="104">
        <f>SUM(AA13:AA24)</f>
        <v>0</v>
      </c>
      <c r="AB11" s="104">
        <f>SUM(AB13:AB24)</f>
        <v>0</v>
      </c>
      <c r="AC11" s="104">
        <f>SUM(AC13:AC24)</f>
        <v>229.75</v>
      </c>
      <c r="AD11" s="105"/>
      <c r="AF11" s="104">
        <f>SUM(AF13:AF24)</f>
        <v>0</v>
      </c>
      <c r="AH11" s="104">
        <f>SUM(AH13:AH24)</f>
        <v>0</v>
      </c>
      <c r="AI11" s="104">
        <f>SUM(AI13:AI24)</f>
        <v>0</v>
      </c>
      <c r="AK11" s="104">
        <f>SUM(AK13:AK24)</f>
        <v>0</v>
      </c>
      <c r="AM11" s="104">
        <f>SUM(AM13:AM24)</f>
        <v>0</v>
      </c>
      <c r="AN11" s="104">
        <f>SUM(AN13:AN24)</f>
        <v>0</v>
      </c>
      <c r="AO11" s="104">
        <f>SUM(AO13:AO24)</f>
        <v>0</v>
      </c>
      <c r="AP11" s="104"/>
      <c r="AR11" s="104">
        <f>SUM(AR13:AR24)</f>
        <v>94.539999999999992</v>
      </c>
      <c r="AT11" s="104">
        <f>SUM(AT13:AT24)</f>
        <v>0</v>
      </c>
      <c r="AU11" s="104">
        <f>SUM(AU13:AU24)</f>
        <v>94.539999999999992</v>
      </c>
      <c r="AW11" s="104">
        <f>SUM(AW13:AW24)</f>
        <v>0</v>
      </c>
      <c r="AY11" s="104">
        <f>SUM(AY13:AY24)</f>
        <v>0</v>
      </c>
      <c r="AZ11" s="104">
        <f>SUM(AZ13:AZ24)</f>
        <v>0</v>
      </c>
      <c r="BA11" s="104">
        <f>SUM(BA13:BA24)</f>
        <v>94.539999999999992</v>
      </c>
      <c r="BB11" s="104"/>
      <c r="BC11" s="104"/>
      <c r="BD11" s="104"/>
      <c r="BE11" s="107" t="s">
        <v>15</v>
      </c>
      <c r="BF11" s="107" t="s">
        <v>16</v>
      </c>
      <c r="BG11" s="107" t="s">
        <v>17</v>
      </c>
      <c r="BH11" s="107" t="s">
        <v>18</v>
      </c>
      <c r="BI11" s="107" t="s">
        <v>19</v>
      </c>
      <c r="BJ11" s="107" t="s">
        <v>20</v>
      </c>
      <c r="BK11" s="107" t="s">
        <v>21</v>
      </c>
      <c r="BL11" s="107" t="s">
        <v>22</v>
      </c>
      <c r="BM11" s="107" t="s">
        <v>23</v>
      </c>
      <c r="BN11" s="107" t="s">
        <v>24</v>
      </c>
      <c r="BO11" s="107" t="s">
        <v>25</v>
      </c>
      <c r="BP11" s="107" t="s">
        <v>26</v>
      </c>
      <c r="BQ11" s="108" t="s">
        <v>27</v>
      </c>
    </row>
    <row r="12" spans="1:69" ht="15.75" x14ac:dyDescent="0.25">
      <c r="A12" s="68"/>
      <c r="D12" s="95"/>
      <c r="E12" s="95"/>
      <c r="F12" s="95"/>
      <c r="BE12" s="97" t="s">
        <v>28</v>
      </c>
      <c r="BF12" s="97">
        <v>823</v>
      </c>
      <c r="BG12" s="97">
        <v>71</v>
      </c>
      <c r="BH12" s="97">
        <v>123</v>
      </c>
      <c r="BI12" s="97">
        <v>126</v>
      </c>
      <c r="BJ12" s="97">
        <v>378</v>
      </c>
      <c r="BK12" s="97">
        <v>837</v>
      </c>
      <c r="BL12" s="98">
        <v>425</v>
      </c>
      <c r="BM12" s="98">
        <v>493</v>
      </c>
      <c r="BN12" s="98">
        <v>723</v>
      </c>
      <c r="BO12" s="109">
        <v>289</v>
      </c>
      <c r="BP12" s="109">
        <v>165</v>
      </c>
      <c r="BQ12" s="110">
        <v>192</v>
      </c>
    </row>
    <row r="13" spans="1:69" x14ac:dyDescent="0.2">
      <c r="B13" s="68">
        <v>1</v>
      </c>
      <c r="C13" s="59" t="s">
        <v>29</v>
      </c>
      <c r="D13" s="71">
        <v>1.64468925478253</v>
      </c>
      <c r="E13" s="71">
        <v>112.85531074521748</v>
      </c>
      <c r="F13" s="71">
        <v>114.5</v>
      </c>
      <c r="G13" s="111">
        <f t="shared" ref="G13:G24" si="0">F13/47378</f>
        <v>2.4167335050023215E-3</v>
      </c>
      <c r="H13" s="58">
        <f>G13*2892</f>
        <v>6.9891932964667136</v>
      </c>
      <c r="I13" s="112">
        <v>7</v>
      </c>
      <c r="J13" s="58">
        <f>G13*1670</f>
        <v>4.0359449533538774</v>
      </c>
      <c r="K13" s="112">
        <v>4</v>
      </c>
      <c r="L13" s="105" t="s">
        <v>85</v>
      </c>
      <c r="M13" s="161" t="s">
        <v>129</v>
      </c>
      <c r="Q13" s="105"/>
      <c r="R13" s="105"/>
      <c r="S13" s="113">
        <v>280</v>
      </c>
      <c r="T13" s="114">
        <f t="shared" ref="T13:T19" si="1">S13/40</f>
        <v>7</v>
      </c>
      <c r="U13" s="114">
        <v>280</v>
      </c>
      <c r="V13" s="114"/>
      <c r="W13" s="114">
        <f>T13+V13</f>
        <v>7</v>
      </c>
      <c r="X13" s="114"/>
      <c r="Y13" s="114">
        <f t="shared" ref="Y13:Y19" si="2">X13/40</f>
        <v>0</v>
      </c>
      <c r="Z13" s="114">
        <v>280</v>
      </c>
      <c r="AA13" s="114"/>
      <c r="AB13" s="114">
        <f>Y13+AA13</f>
        <v>0</v>
      </c>
      <c r="AC13" s="114">
        <f>AB13+W13</f>
        <v>7</v>
      </c>
      <c r="AD13" s="105"/>
      <c r="AE13" s="113"/>
      <c r="AF13" s="115">
        <f t="shared" ref="AF13:AF19" si="3">AE13/40</f>
        <v>0</v>
      </c>
      <c r="AG13" s="115">
        <v>280</v>
      </c>
      <c r="AH13" s="115"/>
      <c r="AI13" s="115">
        <f>AF13+AH13</f>
        <v>0</v>
      </c>
      <c r="AJ13" s="115"/>
      <c r="AK13" s="115">
        <f t="shared" ref="AK13:AK19" si="4">AJ13/40</f>
        <v>0</v>
      </c>
      <c r="AL13" s="115">
        <v>280</v>
      </c>
      <c r="AM13" s="115"/>
      <c r="AN13" s="115">
        <f>AK13+AM13</f>
        <v>0</v>
      </c>
      <c r="AO13" s="115">
        <f>AN13+AI13</f>
        <v>0</v>
      </c>
      <c r="AP13" s="105"/>
      <c r="AQ13" s="105">
        <v>180</v>
      </c>
      <c r="AR13" s="116">
        <f>AQ13/15</f>
        <v>12</v>
      </c>
      <c r="AS13" s="116"/>
      <c r="AT13" s="116"/>
      <c r="AU13" s="116">
        <f>AR13+AT13</f>
        <v>12</v>
      </c>
      <c r="AV13" s="105"/>
      <c r="AW13" s="116">
        <f t="shared" ref="AW13:AW19" si="5">AV13/40</f>
        <v>0</v>
      </c>
      <c r="AX13" s="116"/>
      <c r="AY13" s="116"/>
      <c r="AZ13" s="116">
        <f>AW13+AY13</f>
        <v>0</v>
      </c>
      <c r="BA13" s="116">
        <f>AZ13+AU13</f>
        <v>12</v>
      </c>
      <c r="BB13" s="105"/>
      <c r="BC13" s="119" t="s">
        <v>90</v>
      </c>
      <c r="BD13" s="123"/>
      <c r="BL13" s="120"/>
      <c r="BM13" s="120" t="s">
        <v>30</v>
      </c>
      <c r="BN13" s="121">
        <f>SUM(BL12:BQ12)</f>
        <v>2287</v>
      </c>
      <c r="BO13" s="121"/>
    </row>
    <row r="14" spans="1:69" x14ac:dyDescent="0.2">
      <c r="B14" s="68">
        <v>2</v>
      </c>
      <c r="C14" s="59" t="s">
        <v>31</v>
      </c>
      <c r="D14" s="71">
        <v>82.2344627391263</v>
      </c>
      <c r="E14" s="71">
        <v>419.76553726087371</v>
      </c>
      <c r="F14" s="71">
        <v>502</v>
      </c>
      <c r="G14" s="111">
        <f t="shared" si="0"/>
        <v>1.0595635104901009E-2</v>
      </c>
      <c r="H14" s="58">
        <f>G14*2892</f>
        <v>30.642576723373718</v>
      </c>
      <c r="I14" s="112">
        <v>30</v>
      </c>
      <c r="J14" s="58">
        <f>G14*1670</f>
        <v>17.694710625184683</v>
      </c>
      <c r="K14" s="112">
        <v>18</v>
      </c>
      <c r="L14" s="105" t="s">
        <v>85</v>
      </c>
      <c r="M14" s="161" t="s">
        <v>129</v>
      </c>
      <c r="Q14" s="105"/>
      <c r="R14" s="105"/>
      <c r="S14" s="113">
        <f>660+580</f>
        <v>1240</v>
      </c>
      <c r="T14" s="114">
        <f t="shared" si="1"/>
        <v>31</v>
      </c>
      <c r="U14" s="114">
        <f>660+580</f>
        <v>1240</v>
      </c>
      <c r="V14" s="114"/>
      <c r="W14" s="114">
        <f t="shared" ref="W14:W59" si="6">T14+V14</f>
        <v>31</v>
      </c>
      <c r="X14" s="114"/>
      <c r="Y14" s="114">
        <f t="shared" si="2"/>
        <v>0</v>
      </c>
      <c r="Z14" s="114">
        <f>660+580</f>
        <v>1240</v>
      </c>
      <c r="AA14" s="114"/>
      <c r="AB14" s="114">
        <f t="shared" ref="AB14:AB24" si="7">Y14+AA14</f>
        <v>0</v>
      </c>
      <c r="AC14" s="114">
        <f t="shared" ref="AC14:AC59" si="8">AB14+W14</f>
        <v>31</v>
      </c>
      <c r="AD14" s="105"/>
      <c r="AE14" s="113"/>
      <c r="AF14" s="115">
        <f t="shared" si="3"/>
        <v>0</v>
      </c>
      <c r="AG14" s="115">
        <f>660+580</f>
        <v>1240</v>
      </c>
      <c r="AH14" s="115"/>
      <c r="AI14" s="115">
        <f t="shared" ref="AI14:AI24" si="9">AF14+AH14</f>
        <v>0</v>
      </c>
      <c r="AJ14" s="115"/>
      <c r="AK14" s="115">
        <f t="shared" si="4"/>
        <v>0</v>
      </c>
      <c r="AL14" s="115">
        <f>660+580</f>
        <v>1240</v>
      </c>
      <c r="AM14" s="115"/>
      <c r="AN14" s="115">
        <f t="shared" ref="AN14:AN24" si="10">AK14+AM14</f>
        <v>0</v>
      </c>
      <c r="AO14" s="115">
        <f t="shared" ref="AO14:AO24" si="11">AN14+AI14</f>
        <v>0</v>
      </c>
      <c r="AP14" s="105"/>
      <c r="AQ14" s="105">
        <v>90</v>
      </c>
      <c r="AR14" s="116">
        <f t="shared" ref="AR14:AR59" si="12">AQ14/15</f>
        <v>6</v>
      </c>
      <c r="AS14" s="116"/>
      <c r="AT14" s="116"/>
      <c r="AU14" s="116">
        <f t="shared" ref="AU14:AU24" si="13">AR14+AT14</f>
        <v>6</v>
      </c>
      <c r="AV14" s="105"/>
      <c r="AW14" s="116">
        <f t="shared" si="5"/>
        <v>0</v>
      </c>
      <c r="AX14" s="116"/>
      <c r="AY14" s="116"/>
      <c r="AZ14" s="116">
        <f t="shared" ref="AZ14:AZ24" si="14">AW14+AY14</f>
        <v>0</v>
      </c>
      <c r="BA14" s="116">
        <f t="shared" ref="BA14:BA24" si="15">AZ14+AU14</f>
        <v>6</v>
      </c>
      <c r="BB14" s="105"/>
      <c r="BC14" s="119" t="s">
        <v>90</v>
      </c>
      <c r="BD14" s="123"/>
      <c r="BL14" s="120"/>
      <c r="BM14" s="120" t="s">
        <v>8</v>
      </c>
      <c r="BN14" s="121">
        <f>BN13*73%</f>
        <v>1669.51</v>
      </c>
      <c r="BO14" s="122"/>
    </row>
    <row r="15" spans="1:69" x14ac:dyDescent="0.2">
      <c r="B15" s="68">
        <v>3</v>
      </c>
      <c r="C15" s="59" t="s">
        <v>32</v>
      </c>
      <c r="D15" s="71">
        <v>0</v>
      </c>
      <c r="E15" s="71">
        <v>89</v>
      </c>
      <c r="F15" s="71">
        <v>89</v>
      </c>
      <c r="G15" s="111">
        <f t="shared" si="0"/>
        <v>1.878509012621892E-3</v>
      </c>
      <c r="H15" s="58">
        <f>G15*2892</f>
        <v>5.4326480645025121</v>
      </c>
      <c r="I15" s="112">
        <v>5</v>
      </c>
      <c r="J15" s="58">
        <f>G15*1670</f>
        <v>3.1371100510785599</v>
      </c>
      <c r="K15" s="112">
        <v>3</v>
      </c>
      <c r="L15" s="105"/>
      <c r="Q15" s="105"/>
      <c r="R15" s="105"/>
      <c r="S15" s="113"/>
      <c r="T15" s="114">
        <f t="shared" si="1"/>
        <v>0</v>
      </c>
      <c r="U15" s="114"/>
      <c r="V15" s="114"/>
      <c r="W15" s="114">
        <f t="shared" si="6"/>
        <v>0</v>
      </c>
      <c r="X15" s="114"/>
      <c r="Y15" s="114">
        <f t="shared" si="2"/>
        <v>0</v>
      </c>
      <c r="Z15" s="114"/>
      <c r="AA15" s="114"/>
      <c r="AB15" s="114">
        <f t="shared" si="7"/>
        <v>0</v>
      </c>
      <c r="AC15" s="114">
        <f t="shared" si="8"/>
        <v>0</v>
      </c>
      <c r="AD15" s="105"/>
      <c r="AE15" s="113"/>
      <c r="AF15" s="115">
        <f t="shared" si="3"/>
        <v>0</v>
      </c>
      <c r="AG15" s="115"/>
      <c r="AH15" s="115"/>
      <c r="AI15" s="115">
        <f t="shared" si="9"/>
        <v>0</v>
      </c>
      <c r="AJ15" s="115"/>
      <c r="AK15" s="115">
        <f t="shared" si="4"/>
        <v>0</v>
      </c>
      <c r="AL15" s="115"/>
      <c r="AM15" s="115"/>
      <c r="AN15" s="115">
        <f t="shared" si="10"/>
        <v>0</v>
      </c>
      <c r="AO15" s="115">
        <f t="shared" si="11"/>
        <v>0</v>
      </c>
      <c r="AP15" s="105"/>
      <c r="AQ15" s="105"/>
      <c r="AR15" s="116">
        <f t="shared" si="12"/>
        <v>0</v>
      </c>
      <c r="AS15" s="116"/>
      <c r="AT15" s="116"/>
      <c r="AU15" s="116">
        <f t="shared" si="13"/>
        <v>0</v>
      </c>
      <c r="AV15" s="105"/>
      <c r="AW15" s="116">
        <f t="shared" si="5"/>
        <v>0</v>
      </c>
      <c r="AX15" s="116"/>
      <c r="AY15" s="116"/>
      <c r="AZ15" s="116">
        <f t="shared" si="14"/>
        <v>0</v>
      </c>
      <c r="BA15" s="116">
        <f t="shared" si="15"/>
        <v>0</v>
      </c>
      <c r="BB15" s="105"/>
      <c r="BC15" s="119"/>
      <c r="BD15" s="123"/>
    </row>
    <row r="16" spans="1:69" x14ac:dyDescent="0.2">
      <c r="B16" s="68">
        <v>4</v>
      </c>
      <c r="C16" s="59" t="s">
        <v>33</v>
      </c>
      <c r="D16" s="71">
        <v>116.77293708955935</v>
      </c>
      <c r="E16" s="71">
        <v>478.72706291044062</v>
      </c>
      <c r="F16" s="71">
        <v>595.5</v>
      </c>
      <c r="G16" s="111">
        <f t="shared" si="0"/>
        <v>1.2569124910295918E-2</v>
      </c>
      <c r="H16" s="58">
        <v>0</v>
      </c>
      <c r="I16" s="112">
        <v>0</v>
      </c>
      <c r="J16" s="58">
        <v>34</v>
      </c>
      <c r="K16" s="112">
        <f>21+13</f>
        <v>34</v>
      </c>
      <c r="L16" s="105" t="s">
        <v>83</v>
      </c>
      <c r="Q16" s="105"/>
      <c r="R16" s="105"/>
      <c r="S16" s="113">
        <v>0</v>
      </c>
      <c r="T16" s="114">
        <f t="shared" si="1"/>
        <v>0</v>
      </c>
      <c r="U16" s="114">
        <v>0</v>
      </c>
      <c r="V16" s="114"/>
      <c r="W16" s="114">
        <f t="shared" si="6"/>
        <v>0</v>
      </c>
      <c r="X16" s="114"/>
      <c r="Y16" s="114">
        <f t="shared" si="2"/>
        <v>0</v>
      </c>
      <c r="Z16" s="114">
        <v>0</v>
      </c>
      <c r="AA16" s="114"/>
      <c r="AB16" s="114">
        <f t="shared" si="7"/>
        <v>0</v>
      </c>
      <c r="AC16" s="114">
        <f t="shared" si="8"/>
        <v>0</v>
      </c>
      <c r="AD16" s="105"/>
      <c r="AE16" s="113"/>
      <c r="AF16" s="115">
        <f t="shared" si="3"/>
        <v>0</v>
      </c>
      <c r="AG16" s="115">
        <v>0</v>
      </c>
      <c r="AH16" s="115"/>
      <c r="AI16" s="115">
        <f t="shared" si="9"/>
        <v>0</v>
      </c>
      <c r="AJ16" s="115"/>
      <c r="AK16" s="115">
        <f t="shared" si="4"/>
        <v>0</v>
      </c>
      <c r="AL16" s="115">
        <v>0</v>
      </c>
      <c r="AM16" s="115"/>
      <c r="AN16" s="115">
        <f t="shared" si="10"/>
        <v>0</v>
      </c>
      <c r="AO16" s="115">
        <f t="shared" si="11"/>
        <v>0</v>
      </c>
      <c r="AP16" s="105"/>
      <c r="AQ16" s="105">
        <f>390</f>
        <v>390</v>
      </c>
      <c r="AR16" s="116">
        <f t="shared" si="12"/>
        <v>26</v>
      </c>
      <c r="AS16" s="116"/>
      <c r="AT16" s="116"/>
      <c r="AU16" s="116">
        <f t="shared" si="13"/>
        <v>26</v>
      </c>
      <c r="AV16" s="105"/>
      <c r="AW16" s="116">
        <f t="shared" si="5"/>
        <v>0</v>
      </c>
      <c r="AX16" s="116"/>
      <c r="AY16" s="116"/>
      <c r="AZ16" s="116">
        <f t="shared" si="14"/>
        <v>0</v>
      </c>
      <c r="BA16" s="116">
        <f t="shared" si="15"/>
        <v>26</v>
      </c>
      <c r="BB16" s="105"/>
      <c r="BC16" s="119" t="s">
        <v>91</v>
      </c>
      <c r="BD16" s="123"/>
    </row>
    <row r="17" spans="1:56" x14ac:dyDescent="0.2">
      <c r="B17" s="68">
        <v>5</v>
      </c>
      <c r="C17" s="59" t="s">
        <v>35</v>
      </c>
      <c r="D17" s="71">
        <v>236.83525268868374</v>
      </c>
      <c r="E17" s="71">
        <v>812.16474731131621</v>
      </c>
      <c r="F17" s="71">
        <v>1049</v>
      </c>
      <c r="G17" s="111">
        <f t="shared" si="0"/>
        <v>2.2141078137532189E-2</v>
      </c>
      <c r="H17" s="58">
        <f>G17*2892</f>
        <v>64.031997973743088</v>
      </c>
      <c r="I17" s="112">
        <v>64</v>
      </c>
      <c r="J17" s="58">
        <f>G17*1670</f>
        <v>36.975600489678754</v>
      </c>
      <c r="K17" s="112">
        <v>37</v>
      </c>
      <c r="L17" s="105" t="s">
        <v>88</v>
      </c>
      <c r="Q17" s="105"/>
      <c r="R17" s="105"/>
      <c r="S17" s="113">
        <f>360+80+280+1120+360.1+360</f>
        <v>2560.1</v>
      </c>
      <c r="T17" s="114">
        <f t="shared" si="1"/>
        <v>64.002499999999998</v>
      </c>
      <c r="U17" s="114">
        <f>360+80+280+1120+360.1</f>
        <v>2200.1</v>
      </c>
      <c r="V17" s="114">
        <f>I17-T17</f>
        <v>-2.4999999999977263E-3</v>
      </c>
      <c r="W17" s="114">
        <f t="shared" si="6"/>
        <v>64</v>
      </c>
      <c r="X17" s="114"/>
      <c r="Y17" s="114">
        <f t="shared" si="2"/>
        <v>0</v>
      </c>
      <c r="Z17" s="114">
        <f>360+80+280+1120+360.1</f>
        <v>2200.1</v>
      </c>
      <c r="AA17" s="114"/>
      <c r="AB17" s="114">
        <f t="shared" si="7"/>
        <v>0</v>
      </c>
      <c r="AC17" s="114">
        <f t="shared" si="8"/>
        <v>64</v>
      </c>
      <c r="AD17" s="105"/>
      <c r="AE17" s="113"/>
      <c r="AF17" s="115">
        <f t="shared" si="3"/>
        <v>0</v>
      </c>
      <c r="AG17" s="115">
        <f>360+80+280+1120+360.1</f>
        <v>2200.1</v>
      </c>
      <c r="AH17" s="115"/>
      <c r="AI17" s="115">
        <f t="shared" si="9"/>
        <v>0</v>
      </c>
      <c r="AJ17" s="115"/>
      <c r="AK17" s="115">
        <f t="shared" si="4"/>
        <v>0</v>
      </c>
      <c r="AL17" s="115">
        <f>360+80+280+1120+360.1</f>
        <v>2200.1</v>
      </c>
      <c r="AM17" s="115"/>
      <c r="AN17" s="115">
        <f t="shared" si="10"/>
        <v>0</v>
      </c>
      <c r="AO17" s="115">
        <f t="shared" si="11"/>
        <v>0</v>
      </c>
      <c r="AP17" s="105"/>
      <c r="AQ17" s="105">
        <f>89.85+24+49.5+24.75</f>
        <v>188.1</v>
      </c>
      <c r="AR17" s="116">
        <f t="shared" si="12"/>
        <v>12.54</v>
      </c>
      <c r="AS17" s="116"/>
      <c r="AT17" s="116"/>
      <c r="AU17" s="116">
        <f t="shared" si="13"/>
        <v>12.54</v>
      </c>
      <c r="AV17" s="105"/>
      <c r="AW17" s="116">
        <f t="shared" si="5"/>
        <v>0</v>
      </c>
      <c r="AX17" s="116"/>
      <c r="AY17" s="116"/>
      <c r="AZ17" s="116">
        <f t="shared" si="14"/>
        <v>0</v>
      </c>
      <c r="BA17" s="116">
        <f t="shared" si="15"/>
        <v>12.54</v>
      </c>
      <c r="BB17" s="105"/>
      <c r="BC17" s="119" t="s">
        <v>143</v>
      </c>
      <c r="BD17" s="123"/>
    </row>
    <row r="18" spans="1:56" x14ac:dyDescent="0.2">
      <c r="B18" s="68">
        <v>6</v>
      </c>
      <c r="C18" s="59" t="s">
        <v>36</v>
      </c>
      <c r="D18" s="71">
        <v>106.35657180927001</v>
      </c>
      <c r="E18" s="71">
        <v>1213.64342819073</v>
      </c>
      <c r="F18" s="71">
        <v>1320</v>
      </c>
      <c r="G18" s="111">
        <f t="shared" si="0"/>
        <v>2.7861032546751655E-2</v>
      </c>
      <c r="H18" s="58">
        <f>G18*2892</f>
        <v>80.574106125205788</v>
      </c>
      <c r="I18" s="112">
        <v>80</v>
      </c>
      <c r="J18" s="58">
        <f>G18*1670</f>
        <v>46.527924353075264</v>
      </c>
      <c r="K18" s="112">
        <v>46</v>
      </c>
      <c r="L18" s="105"/>
      <c r="Q18" s="105"/>
      <c r="R18" s="105"/>
      <c r="S18" s="113"/>
      <c r="T18" s="114">
        <f t="shared" si="1"/>
        <v>0</v>
      </c>
      <c r="U18" s="114"/>
      <c r="V18" s="114"/>
      <c r="W18" s="114">
        <f t="shared" si="6"/>
        <v>0</v>
      </c>
      <c r="X18" s="114"/>
      <c r="Y18" s="114">
        <f t="shared" si="2"/>
        <v>0</v>
      </c>
      <c r="Z18" s="114"/>
      <c r="AA18" s="114"/>
      <c r="AB18" s="114">
        <f t="shared" si="7"/>
        <v>0</v>
      </c>
      <c r="AC18" s="114">
        <f t="shared" si="8"/>
        <v>0</v>
      </c>
      <c r="AD18" s="105"/>
      <c r="AE18" s="113"/>
      <c r="AF18" s="115">
        <f t="shared" si="3"/>
        <v>0</v>
      </c>
      <c r="AG18" s="115"/>
      <c r="AH18" s="115"/>
      <c r="AI18" s="115">
        <f t="shared" si="9"/>
        <v>0</v>
      </c>
      <c r="AJ18" s="115"/>
      <c r="AK18" s="115">
        <f t="shared" si="4"/>
        <v>0</v>
      </c>
      <c r="AL18" s="115"/>
      <c r="AM18" s="115"/>
      <c r="AN18" s="115">
        <f t="shared" si="10"/>
        <v>0</v>
      </c>
      <c r="AO18" s="115">
        <f t="shared" si="11"/>
        <v>0</v>
      </c>
      <c r="AP18" s="105"/>
      <c r="AQ18" s="105"/>
      <c r="AR18" s="116">
        <f t="shared" si="12"/>
        <v>0</v>
      </c>
      <c r="AS18" s="116"/>
      <c r="AT18" s="116"/>
      <c r="AU18" s="116">
        <f t="shared" si="13"/>
        <v>0</v>
      </c>
      <c r="AV18" s="105"/>
      <c r="AW18" s="116">
        <f t="shared" si="5"/>
        <v>0</v>
      </c>
      <c r="AX18" s="116"/>
      <c r="AY18" s="116"/>
      <c r="AZ18" s="116">
        <f t="shared" si="14"/>
        <v>0</v>
      </c>
      <c r="BA18" s="116">
        <f t="shared" si="15"/>
        <v>0</v>
      </c>
      <c r="BB18" s="105"/>
      <c r="BC18" s="119"/>
      <c r="BD18" s="123"/>
    </row>
    <row r="19" spans="1:56" x14ac:dyDescent="0.2">
      <c r="B19" s="68">
        <v>7</v>
      </c>
      <c r="C19" s="59" t="s">
        <v>37</v>
      </c>
      <c r="D19" s="71">
        <v>0</v>
      </c>
      <c r="E19" s="71">
        <v>86</v>
      </c>
      <c r="F19" s="71">
        <v>86</v>
      </c>
      <c r="G19" s="111">
        <f t="shared" si="0"/>
        <v>1.8151884841065473E-3</v>
      </c>
      <c r="H19" s="58">
        <f>G19*2892</f>
        <v>5.2495250960361348</v>
      </c>
      <c r="I19" s="112">
        <v>5</v>
      </c>
      <c r="J19" s="58">
        <f>G19*1670</f>
        <v>3.0313647684579341</v>
      </c>
      <c r="K19" s="112">
        <v>3</v>
      </c>
      <c r="L19" s="105"/>
      <c r="Q19" s="105"/>
      <c r="R19" s="105"/>
      <c r="S19" s="113"/>
      <c r="T19" s="114">
        <f t="shared" si="1"/>
        <v>0</v>
      </c>
      <c r="U19" s="114"/>
      <c r="V19" s="114"/>
      <c r="W19" s="114">
        <f t="shared" si="6"/>
        <v>0</v>
      </c>
      <c r="X19" s="114"/>
      <c r="Y19" s="114">
        <f t="shared" si="2"/>
        <v>0</v>
      </c>
      <c r="Z19" s="114"/>
      <c r="AA19" s="114"/>
      <c r="AB19" s="114">
        <f t="shared" si="7"/>
        <v>0</v>
      </c>
      <c r="AC19" s="114">
        <f t="shared" si="8"/>
        <v>0</v>
      </c>
      <c r="AD19" s="105"/>
      <c r="AE19" s="113"/>
      <c r="AF19" s="115">
        <f t="shared" si="3"/>
        <v>0</v>
      </c>
      <c r="AG19" s="115"/>
      <c r="AH19" s="115"/>
      <c r="AI19" s="115">
        <f t="shared" si="9"/>
        <v>0</v>
      </c>
      <c r="AJ19" s="115"/>
      <c r="AK19" s="115">
        <f t="shared" si="4"/>
        <v>0</v>
      </c>
      <c r="AL19" s="115"/>
      <c r="AM19" s="115"/>
      <c r="AN19" s="115">
        <f t="shared" si="10"/>
        <v>0</v>
      </c>
      <c r="AO19" s="115">
        <f t="shared" si="11"/>
        <v>0</v>
      </c>
      <c r="AP19" s="105"/>
      <c r="AQ19" s="105"/>
      <c r="AR19" s="116">
        <f t="shared" si="12"/>
        <v>0</v>
      </c>
      <c r="AS19" s="116"/>
      <c r="AT19" s="116"/>
      <c r="AU19" s="116">
        <f t="shared" si="13"/>
        <v>0</v>
      </c>
      <c r="AV19" s="105"/>
      <c r="AW19" s="116">
        <f t="shared" si="5"/>
        <v>0</v>
      </c>
      <c r="AX19" s="116"/>
      <c r="AY19" s="116"/>
      <c r="AZ19" s="116">
        <f t="shared" si="14"/>
        <v>0</v>
      </c>
      <c r="BA19" s="116">
        <f t="shared" si="15"/>
        <v>0</v>
      </c>
      <c r="BB19" s="105"/>
      <c r="BC19" s="119"/>
      <c r="BD19" s="123"/>
    </row>
    <row r="20" spans="1:56" x14ac:dyDescent="0.2">
      <c r="B20" s="68">
        <v>8</v>
      </c>
      <c r="C20" s="59" t="s">
        <v>38</v>
      </c>
      <c r="D20" s="71">
        <v>3.837608261159227</v>
      </c>
      <c r="E20" s="71">
        <v>109.66239173884077</v>
      </c>
      <c r="F20" s="71">
        <v>113.5</v>
      </c>
      <c r="G20" s="111">
        <f t="shared" si="0"/>
        <v>2.3956266621638737E-3</v>
      </c>
      <c r="H20" s="58">
        <f>G20*2892</f>
        <v>6.9281523069779229</v>
      </c>
      <c r="I20" s="112">
        <v>7</v>
      </c>
      <c r="J20" s="58">
        <f>G20*1670</f>
        <v>4.0006965258136695</v>
      </c>
      <c r="K20" s="112">
        <v>4</v>
      </c>
      <c r="L20" s="105" t="s">
        <v>84</v>
      </c>
      <c r="M20" s="161" t="s">
        <v>88</v>
      </c>
      <c r="Q20" s="105"/>
      <c r="R20" s="105"/>
      <c r="S20" s="113">
        <v>280</v>
      </c>
      <c r="T20" s="114">
        <f>S20/40</f>
        <v>7</v>
      </c>
      <c r="U20" s="114">
        <v>280</v>
      </c>
      <c r="V20" s="114"/>
      <c r="W20" s="114">
        <f t="shared" si="6"/>
        <v>7</v>
      </c>
      <c r="X20" s="114"/>
      <c r="Y20" s="114">
        <f>X20/40</f>
        <v>0</v>
      </c>
      <c r="Z20" s="114">
        <v>280</v>
      </c>
      <c r="AA20" s="114"/>
      <c r="AB20" s="114">
        <f t="shared" si="7"/>
        <v>0</v>
      </c>
      <c r="AC20" s="114">
        <f t="shared" si="8"/>
        <v>7</v>
      </c>
      <c r="AD20" s="105"/>
      <c r="AE20" s="113"/>
      <c r="AF20" s="115">
        <f>AE20/40</f>
        <v>0</v>
      </c>
      <c r="AG20" s="115">
        <v>280</v>
      </c>
      <c r="AH20" s="115"/>
      <c r="AI20" s="115">
        <f t="shared" si="9"/>
        <v>0</v>
      </c>
      <c r="AJ20" s="115"/>
      <c r="AK20" s="115">
        <f>AJ20/40</f>
        <v>0</v>
      </c>
      <c r="AL20" s="115">
        <v>280</v>
      </c>
      <c r="AM20" s="115"/>
      <c r="AN20" s="115">
        <f t="shared" si="10"/>
        <v>0</v>
      </c>
      <c r="AO20" s="115">
        <f t="shared" si="11"/>
        <v>0</v>
      </c>
      <c r="AP20" s="105"/>
      <c r="AQ20" s="105">
        <v>60</v>
      </c>
      <c r="AR20" s="116">
        <f t="shared" si="12"/>
        <v>4</v>
      </c>
      <c r="AS20" s="116"/>
      <c r="AT20" s="116"/>
      <c r="AU20" s="116">
        <f t="shared" si="13"/>
        <v>4</v>
      </c>
      <c r="AV20" s="105"/>
      <c r="AW20" s="116">
        <f>AV20/40</f>
        <v>0</v>
      </c>
      <c r="AX20" s="116"/>
      <c r="AY20" s="116"/>
      <c r="AZ20" s="116">
        <f t="shared" si="14"/>
        <v>0</v>
      </c>
      <c r="BA20" s="116">
        <f t="shared" si="15"/>
        <v>4</v>
      </c>
      <c r="BB20" s="105"/>
      <c r="BC20" s="123" t="s">
        <v>92</v>
      </c>
      <c r="BD20" s="123"/>
    </row>
    <row r="21" spans="1:56" x14ac:dyDescent="0.2">
      <c r="B21" s="68">
        <v>9</v>
      </c>
      <c r="C21" s="59" t="s">
        <v>39</v>
      </c>
      <c r="D21" s="71">
        <v>0</v>
      </c>
      <c r="E21" s="71">
        <v>373</v>
      </c>
      <c r="F21" s="71">
        <v>373</v>
      </c>
      <c r="G21" s="111">
        <f t="shared" si="0"/>
        <v>7.8728523787411873E-3</v>
      </c>
      <c r="H21" s="58">
        <v>59</v>
      </c>
      <c r="I21" s="112">
        <f>23+36</f>
        <v>59</v>
      </c>
      <c r="J21" s="58">
        <v>0</v>
      </c>
      <c r="K21" s="112">
        <v>0</v>
      </c>
      <c r="L21" s="105" t="s">
        <v>85</v>
      </c>
      <c r="M21" s="161" t="s">
        <v>122</v>
      </c>
      <c r="Q21" s="105"/>
      <c r="R21" s="105"/>
      <c r="S21" s="113">
        <f>160+680+200+600</f>
        <v>1640</v>
      </c>
      <c r="T21" s="114">
        <f t="shared" ref="T21:T59" si="16">S21/40</f>
        <v>41</v>
      </c>
      <c r="U21" s="114">
        <f>160+600+200+560+240</f>
        <v>1760</v>
      </c>
      <c r="V21" s="114">
        <f>I21-T21</f>
        <v>18</v>
      </c>
      <c r="W21" s="114">
        <f t="shared" si="6"/>
        <v>59</v>
      </c>
      <c r="X21" s="114"/>
      <c r="Y21" s="114">
        <f t="shared" ref="Y21:Y24" si="17">X21/40</f>
        <v>0</v>
      </c>
      <c r="Z21" s="114">
        <f>160+600+200+560+240</f>
        <v>1760</v>
      </c>
      <c r="AA21" s="114"/>
      <c r="AB21" s="114">
        <f t="shared" si="7"/>
        <v>0</v>
      </c>
      <c r="AC21" s="114">
        <f t="shared" si="8"/>
        <v>59</v>
      </c>
      <c r="AD21" s="105"/>
      <c r="AE21" s="113"/>
      <c r="AF21" s="115">
        <f t="shared" ref="AF21:AF24" si="18">AE21/40</f>
        <v>0</v>
      </c>
      <c r="AG21" s="115">
        <f>160+600+200+560+240</f>
        <v>1760</v>
      </c>
      <c r="AH21" s="115"/>
      <c r="AI21" s="115">
        <f t="shared" si="9"/>
        <v>0</v>
      </c>
      <c r="AJ21" s="115"/>
      <c r="AK21" s="115">
        <f t="shared" ref="AK21:AK24" si="19">AJ21/40</f>
        <v>0</v>
      </c>
      <c r="AL21" s="115">
        <f>160+600+200+560+240</f>
        <v>1760</v>
      </c>
      <c r="AM21" s="115"/>
      <c r="AN21" s="115">
        <f t="shared" si="10"/>
        <v>0</v>
      </c>
      <c r="AO21" s="115">
        <f t="shared" si="11"/>
        <v>0</v>
      </c>
      <c r="AP21" s="105"/>
      <c r="AQ21" s="105">
        <v>0</v>
      </c>
      <c r="AR21" s="116">
        <f t="shared" si="12"/>
        <v>0</v>
      </c>
      <c r="AS21" s="116"/>
      <c r="AT21" s="116"/>
      <c r="AU21" s="116">
        <f t="shared" si="13"/>
        <v>0</v>
      </c>
      <c r="AV21" s="105"/>
      <c r="AW21" s="116">
        <f t="shared" ref="AW21:AW24" si="20">AV21/40</f>
        <v>0</v>
      </c>
      <c r="AX21" s="116"/>
      <c r="AY21" s="116"/>
      <c r="AZ21" s="116">
        <f t="shared" si="14"/>
        <v>0</v>
      </c>
      <c r="BA21" s="116">
        <f t="shared" si="15"/>
        <v>0</v>
      </c>
      <c r="BB21" s="105"/>
      <c r="BC21" s="119" t="s">
        <v>113</v>
      </c>
      <c r="BD21" s="123"/>
    </row>
    <row r="22" spans="1:56" x14ac:dyDescent="0.2">
      <c r="B22" s="68">
        <v>10</v>
      </c>
      <c r="C22" s="59" t="s">
        <v>41</v>
      </c>
      <c r="D22" s="71">
        <v>138.70212715332636</v>
      </c>
      <c r="E22" s="71">
        <v>47.797872846673641</v>
      </c>
      <c r="F22" s="71">
        <v>186.5</v>
      </c>
      <c r="G22" s="111">
        <f t="shared" si="0"/>
        <v>3.9364261893705937E-3</v>
      </c>
      <c r="H22" s="58">
        <f>G22*2892</f>
        <v>11.384144539659756</v>
      </c>
      <c r="I22" s="112">
        <v>11</v>
      </c>
      <c r="J22" s="58">
        <f>G22*1670</f>
        <v>6.5738317362488914</v>
      </c>
      <c r="K22" s="112">
        <v>7</v>
      </c>
      <c r="L22" s="105"/>
      <c r="Q22" s="105"/>
      <c r="R22" s="105"/>
      <c r="S22" s="113"/>
      <c r="T22" s="114">
        <f t="shared" si="16"/>
        <v>0</v>
      </c>
      <c r="U22" s="114"/>
      <c r="V22" s="114"/>
      <c r="W22" s="114">
        <f t="shared" si="6"/>
        <v>0</v>
      </c>
      <c r="X22" s="114"/>
      <c r="Y22" s="114">
        <f t="shared" si="17"/>
        <v>0</v>
      </c>
      <c r="Z22" s="114"/>
      <c r="AA22" s="114"/>
      <c r="AB22" s="114">
        <f t="shared" si="7"/>
        <v>0</v>
      </c>
      <c r="AC22" s="114">
        <f t="shared" si="8"/>
        <v>0</v>
      </c>
      <c r="AD22" s="105"/>
      <c r="AE22" s="113"/>
      <c r="AF22" s="115">
        <f t="shared" si="18"/>
        <v>0</v>
      </c>
      <c r="AG22" s="115"/>
      <c r="AH22" s="115"/>
      <c r="AI22" s="115">
        <f t="shared" si="9"/>
        <v>0</v>
      </c>
      <c r="AJ22" s="115"/>
      <c r="AK22" s="115">
        <f t="shared" si="19"/>
        <v>0</v>
      </c>
      <c r="AL22" s="115"/>
      <c r="AM22" s="115"/>
      <c r="AN22" s="115">
        <f t="shared" si="10"/>
        <v>0</v>
      </c>
      <c r="AO22" s="115">
        <f t="shared" si="11"/>
        <v>0</v>
      </c>
      <c r="AP22" s="105"/>
      <c r="AQ22" s="105"/>
      <c r="AR22" s="116">
        <f t="shared" si="12"/>
        <v>0</v>
      </c>
      <c r="AS22" s="116"/>
      <c r="AT22" s="116"/>
      <c r="AU22" s="116">
        <f t="shared" si="13"/>
        <v>0</v>
      </c>
      <c r="AV22" s="105"/>
      <c r="AW22" s="116">
        <f t="shared" si="20"/>
        <v>0</v>
      </c>
      <c r="AX22" s="116"/>
      <c r="AY22" s="116"/>
      <c r="AZ22" s="116">
        <f t="shared" si="14"/>
        <v>0</v>
      </c>
      <c r="BA22" s="116">
        <f t="shared" si="15"/>
        <v>0</v>
      </c>
      <c r="BB22" s="105"/>
      <c r="BC22" s="119"/>
      <c r="BD22" s="123"/>
    </row>
    <row r="23" spans="1:56" x14ac:dyDescent="0.2">
      <c r="B23" s="68">
        <v>11</v>
      </c>
      <c r="C23" s="59" t="s">
        <v>42</v>
      </c>
      <c r="D23" s="71">
        <v>0</v>
      </c>
      <c r="E23" s="71">
        <v>247</v>
      </c>
      <c r="F23" s="71">
        <v>247</v>
      </c>
      <c r="G23" s="111">
        <f t="shared" si="0"/>
        <v>5.2133901810967114E-3</v>
      </c>
      <c r="H23" s="58">
        <f>G23*2892</f>
        <v>15.077124403731689</v>
      </c>
      <c r="I23" s="112">
        <v>15</v>
      </c>
      <c r="J23" s="58">
        <f>G23*1670</f>
        <v>8.7063616024315085</v>
      </c>
      <c r="K23" s="112">
        <v>9</v>
      </c>
      <c r="L23" s="105" t="s">
        <v>85</v>
      </c>
      <c r="M23" s="161" t="s">
        <v>122</v>
      </c>
      <c r="Q23" s="105"/>
      <c r="R23" s="105"/>
      <c r="S23" s="113">
        <f>120+100+130+240</f>
        <v>590</v>
      </c>
      <c r="T23" s="114">
        <f t="shared" si="16"/>
        <v>14.75</v>
      </c>
      <c r="U23" s="114">
        <f>120+100+130+240</f>
        <v>590</v>
      </c>
      <c r="V23" s="114"/>
      <c r="W23" s="114">
        <f t="shared" si="6"/>
        <v>14.75</v>
      </c>
      <c r="X23" s="114"/>
      <c r="Y23" s="114">
        <f t="shared" si="17"/>
        <v>0</v>
      </c>
      <c r="Z23" s="114">
        <f>120+100+130+240</f>
        <v>590</v>
      </c>
      <c r="AA23" s="114"/>
      <c r="AB23" s="114">
        <f t="shared" si="7"/>
        <v>0</v>
      </c>
      <c r="AC23" s="114">
        <f t="shared" si="8"/>
        <v>14.75</v>
      </c>
      <c r="AD23" s="105"/>
      <c r="AE23" s="113"/>
      <c r="AF23" s="115">
        <f t="shared" si="18"/>
        <v>0</v>
      </c>
      <c r="AG23" s="115">
        <f>120+100+130+240</f>
        <v>590</v>
      </c>
      <c r="AH23" s="115"/>
      <c r="AI23" s="115">
        <f t="shared" si="9"/>
        <v>0</v>
      </c>
      <c r="AJ23" s="115"/>
      <c r="AK23" s="115">
        <f t="shared" si="19"/>
        <v>0</v>
      </c>
      <c r="AL23" s="115">
        <f>120+100+130+240</f>
        <v>590</v>
      </c>
      <c r="AM23" s="115"/>
      <c r="AN23" s="115">
        <f t="shared" si="10"/>
        <v>0</v>
      </c>
      <c r="AO23" s="115">
        <f t="shared" si="11"/>
        <v>0</v>
      </c>
      <c r="AP23" s="105"/>
      <c r="AQ23" s="105">
        <v>135</v>
      </c>
      <c r="AR23" s="116">
        <f t="shared" si="12"/>
        <v>9</v>
      </c>
      <c r="AS23" s="116"/>
      <c r="AT23" s="116"/>
      <c r="AU23" s="116">
        <f t="shared" si="13"/>
        <v>9</v>
      </c>
      <c r="AV23" s="105"/>
      <c r="AW23" s="116">
        <f t="shared" si="20"/>
        <v>0</v>
      </c>
      <c r="AX23" s="116"/>
      <c r="AY23" s="116"/>
      <c r="AZ23" s="116">
        <f t="shared" si="14"/>
        <v>0</v>
      </c>
      <c r="BA23" s="116">
        <f t="shared" si="15"/>
        <v>9</v>
      </c>
      <c r="BB23" s="105"/>
      <c r="BC23" s="119" t="s">
        <v>100</v>
      </c>
      <c r="BD23" s="123"/>
    </row>
    <row r="24" spans="1:56" x14ac:dyDescent="0.2">
      <c r="B24" s="68">
        <v>12</v>
      </c>
      <c r="C24" s="59" t="s">
        <v>43</v>
      </c>
      <c r="D24" s="71">
        <v>455.57892357475964</v>
      </c>
      <c r="E24" s="71">
        <v>237.92107642524036</v>
      </c>
      <c r="F24" s="71">
        <v>693.5</v>
      </c>
      <c r="G24" s="111">
        <f t="shared" si="0"/>
        <v>1.4637595508463844E-2</v>
      </c>
      <c r="H24" s="58">
        <f>G24*2892</f>
        <v>42.331926210477434</v>
      </c>
      <c r="I24" s="112">
        <v>42</v>
      </c>
      <c r="J24" s="58">
        <f>G24*1670</f>
        <v>24.44478449913462</v>
      </c>
      <c r="K24" s="112">
        <v>24</v>
      </c>
      <c r="L24" s="105" t="s">
        <v>85</v>
      </c>
      <c r="M24" s="161" t="s">
        <v>129</v>
      </c>
      <c r="N24" s="161" t="s">
        <v>129</v>
      </c>
      <c r="Q24" s="105"/>
      <c r="R24" s="105"/>
      <c r="S24" s="113">
        <f>200+600+280+600+200</f>
        <v>1880</v>
      </c>
      <c r="T24" s="114">
        <f t="shared" si="16"/>
        <v>47</v>
      </c>
      <c r="U24" s="114">
        <f>200+600+280+600+200</f>
        <v>1880</v>
      </c>
      <c r="V24" s="114"/>
      <c r="W24" s="114">
        <f t="shared" si="6"/>
        <v>47</v>
      </c>
      <c r="X24" s="114"/>
      <c r="Y24" s="114">
        <f t="shared" si="17"/>
        <v>0</v>
      </c>
      <c r="Z24" s="114">
        <f>200+600+280+600+200</f>
        <v>1880</v>
      </c>
      <c r="AA24" s="114"/>
      <c r="AB24" s="114">
        <f t="shared" si="7"/>
        <v>0</v>
      </c>
      <c r="AC24" s="114">
        <f t="shared" si="8"/>
        <v>47</v>
      </c>
      <c r="AD24" s="105"/>
      <c r="AE24" s="113"/>
      <c r="AF24" s="115">
        <f t="shared" si="18"/>
        <v>0</v>
      </c>
      <c r="AG24" s="115">
        <f>200+600+280+600+200</f>
        <v>1880</v>
      </c>
      <c r="AH24" s="115"/>
      <c r="AI24" s="115">
        <f t="shared" si="9"/>
        <v>0</v>
      </c>
      <c r="AJ24" s="115"/>
      <c r="AK24" s="115">
        <f t="shared" si="19"/>
        <v>0</v>
      </c>
      <c r="AL24" s="115">
        <f>200+600+280+600+200</f>
        <v>1880</v>
      </c>
      <c r="AM24" s="115"/>
      <c r="AN24" s="115">
        <f t="shared" si="10"/>
        <v>0</v>
      </c>
      <c r="AO24" s="115">
        <f t="shared" si="11"/>
        <v>0</v>
      </c>
      <c r="AP24" s="105"/>
      <c r="AQ24" s="105">
        <f>54+150+75+96</f>
        <v>375</v>
      </c>
      <c r="AR24" s="116">
        <f t="shared" si="12"/>
        <v>25</v>
      </c>
      <c r="AS24" s="116"/>
      <c r="AT24" s="116"/>
      <c r="AU24" s="116">
        <f t="shared" si="13"/>
        <v>25</v>
      </c>
      <c r="AV24" s="105"/>
      <c r="AW24" s="116">
        <f t="shared" si="20"/>
        <v>0</v>
      </c>
      <c r="AX24" s="116"/>
      <c r="AY24" s="116"/>
      <c r="AZ24" s="116">
        <f t="shared" si="14"/>
        <v>0</v>
      </c>
      <c r="BA24" s="116">
        <f t="shared" si="15"/>
        <v>25</v>
      </c>
      <c r="BB24" s="105"/>
      <c r="BC24" s="119" t="s">
        <v>101</v>
      </c>
      <c r="BD24" s="123"/>
    </row>
    <row r="25" spans="1:56" s="124" customFormat="1" ht="15.75" x14ac:dyDescent="0.25">
      <c r="A25" s="99" t="s">
        <v>44</v>
      </c>
      <c r="C25" s="124">
        <v>14</v>
      </c>
      <c r="D25" s="125">
        <v>10693.111658894071</v>
      </c>
      <c r="E25" s="125">
        <v>12058.398341105929</v>
      </c>
      <c r="F25" s="125">
        <v>22751.510000000002</v>
      </c>
      <c r="G25" s="126"/>
      <c r="H25" s="104"/>
      <c r="I25" s="104">
        <f>SUM(I26:I39)</f>
        <v>1386</v>
      </c>
      <c r="J25" s="127"/>
      <c r="K25" s="104">
        <f>SUM(K26:K39)</f>
        <v>801</v>
      </c>
      <c r="L25" s="104"/>
      <c r="M25" s="179"/>
      <c r="N25" s="179"/>
      <c r="O25" s="179"/>
      <c r="P25" s="104">
        <f>SUM(P26:P39)</f>
        <v>0</v>
      </c>
      <c r="Q25" s="104"/>
      <c r="R25" s="104"/>
      <c r="S25" s="104"/>
      <c r="T25" s="104">
        <f>SUM(T26:T39)</f>
        <v>268.91250000000002</v>
      </c>
      <c r="U25" s="104"/>
      <c r="V25" s="104">
        <f>SUM(V26:V39)</f>
        <v>11.087499999999999</v>
      </c>
      <c r="W25" s="104">
        <f>SUM(W26:W39)</f>
        <v>280</v>
      </c>
      <c r="X25" s="104"/>
      <c r="Y25" s="104">
        <f>SUM(Y26:Y39)</f>
        <v>0</v>
      </c>
      <c r="Z25" s="104"/>
      <c r="AA25" s="104">
        <f>SUM(AA26:AA39)</f>
        <v>670</v>
      </c>
      <c r="AB25" s="104">
        <f>SUM(AB26:AB39)</f>
        <v>670</v>
      </c>
      <c r="AC25" s="104">
        <f>SUM(AC26:AC39)</f>
        <v>950</v>
      </c>
      <c r="AD25" s="105"/>
      <c r="AE25" s="104"/>
      <c r="AF25" s="104">
        <f>SUM(AF26:AF39)</f>
        <v>197</v>
      </c>
      <c r="AG25" s="104"/>
      <c r="AH25" s="104">
        <f>SUM(AH26:AH39)</f>
        <v>171</v>
      </c>
      <c r="AI25" s="104">
        <f>SUM(AI26:AI39)</f>
        <v>368</v>
      </c>
      <c r="AJ25" s="104"/>
      <c r="AK25" s="104">
        <f>SUM(AK26:AK39)</f>
        <v>0</v>
      </c>
      <c r="AL25" s="104"/>
      <c r="AM25" s="104">
        <f>SUM(AM26:AM39)</f>
        <v>288</v>
      </c>
      <c r="AN25" s="104">
        <f>SUM(AN26:AN39)</f>
        <v>288</v>
      </c>
      <c r="AO25" s="104">
        <f>SUM(AO26:AO39)</f>
        <v>656</v>
      </c>
      <c r="AP25" s="104"/>
      <c r="AQ25" s="104"/>
      <c r="AR25" s="104">
        <f>SUM(AR26:AR39)</f>
        <v>139.9</v>
      </c>
      <c r="AS25" s="104"/>
      <c r="AT25" s="104">
        <f>SUM(AT26:AT39)</f>
        <v>0</v>
      </c>
      <c r="AU25" s="104">
        <f>SUM(AU26:AU39)</f>
        <v>139.9</v>
      </c>
      <c r="AV25" s="104"/>
      <c r="AW25" s="104">
        <f>SUM(AW26:AW39)</f>
        <v>0</v>
      </c>
      <c r="AX25" s="104"/>
      <c r="AY25" s="104">
        <f>SUM(AY26:AY39)</f>
        <v>0</v>
      </c>
      <c r="AZ25" s="104">
        <f>SUM(AZ26:AZ39)</f>
        <v>0</v>
      </c>
      <c r="BA25" s="104">
        <f>SUM(BA26:BA39)</f>
        <v>139.9</v>
      </c>
      <c r="BB25" s="104"/>
      <c r="BC25" s="104"/>
      <c r="BD25" s="104"/>
    </row>
    <row r="26" spans="1:56" x14ac:dyDescent="0.2">
      <c r="B26" s="68">
        <v>1</v>
      </c>
      <c r="C26" s="59" t="s">
        <v>45</v>
      </c>
      <c r="D26" s="71">
        <v>10.964595031883507</v>
      </c>
      <c r="E26" s="71">
        <v>885.45540496811645</v>
      </c>
      <c r="F26" s="71">
        <v>896.42</v>
      </c>
      <c r="G26" s="111">
        <f t="shared" ref="G26:G39" si="21">F26/47378</f>
        <v>1.8920596057241758E-2</v>
      </c>
      <c r="H26" s="58">
        <f t="shared" ref="H26:H39" si="22">G26*2892</f>
        <v>54.718363797543162</v>
      </c>
      <c r="I26" s="112">
        <v>55</v>
      </c>
      <c r="J26" s="58">
        <f t="shared" ref="J26:J39" si="23">G26*1670</f>
        <v>31.597395415593734</v>
      </c>
      <c r="K26" s="112">
        <v>32</v>
      </c>
      <c r="L26" s="105" t="s">
        <v>88</v>
      </c>
      <c r="M26" s="161" t="s">
        <v>129</v>
      </c>
      <c r="Q26" s="105"/>
      <c r="R26" s="105"/>
      <c r="S26" s="113">
        <v>1080</v>
      </c>
      <c r="T26" s="114">
        <f t="shared" si="16"/>
        <v>27</v>
      </c>
      <c r="U26" s="114">
        <v>1080</v>
      </c>
      <c r="V26" s="114"/>
      <c r="W26" s="114">
        <f t="shared" si="6"/>
        <v>27</v>
      </c>
      <c r="X26" s="114"/>
      <c r="Y26" s="114">
        <f t="shared" ref="Y26:Y39" si="24">X26/40</f>
        <v>0</v>
      </c>
      <c r="Z26" s="114">
        <v>1080</v>
      </c>
      <c r="AA26" s="114"/>
      <c r="AB26" s="114">
        <f t="shared" ref="AB26:AB39" si="25">Y26+AA26</f>
        <v>0</v>
      </c>
      <c r="AC26" s="114">
        <f t="shared" si="8"/>
        <v>27</v>
      </c>
      <c r="AD26" s="105"/>
      <c r="AE26" s="113"/>
      <c r="AF26" s="115">
        <f t="shared" ref="AF26:AF39" si="26">AE26/40</f>
        <v>0</v>
      </c>
      <c r="AG26" s="115">
        <v>1080</v>
      </c>
      <c r="AH26" s="115"/>
      <c r="AI26" s="115">
        <f t="shared" ref="AI26:AI39" si="27">AF26+AH26</f>
        <v>0</v>
      </c>
      <c r="AJ26" s="115"/>
      <c r="AK26" s="115">
        <f t="shared" ref="AK26:AK39" si="28">AJ26/40</f>
        <v>0</v>
      </c>
      <c r="AL26" s="115">
        <v>1080</v>
      </c>
      <c r="AM26" s="115"/>
      <c r="AN26" s="115">
        <f t="shared" ref="AN26:AN39" si="29">AK26+AM26</f>
        <v>0</v>
      </c>
      <c r="AO26" s="115">
        <f t="shared" ref="AO26:AO39" si="30">AN26+AI26</f>
        <v>0</v>
      </c>
      <c r="AP26" s="105"/>
      <c r="AQ26" s="105">
        <f>255</f>
        <v>255</v>
      </c>
      <c r="AR26" s="116">
        <f t="shared" si="12"/>
        <v>17</v>
      </c>
      <c r="AS26" s="116"/>
      <c r="AT26" s="116"/>
      <c r="AU26" s="116">
        <f t="shared" ref="AU26:AU39" si="31">AR26+AT26</f>
        <v>17</v>
      </c>
      <c r="AV26" s="105"/>
      <c r="AW26" s="116">
        <f t="shared" ref="AW26:AW39" si="32">AV26/40</f>
        <v>0</v>
      </c>
      <c r="AX26" s="116"/>
      <c r="AY26" s="116"/>
      <c r="AZ26" s="116">
        <f t="shared" ref="AZ26:AZ39" si="33">AW26+AY26</f>
        <v>0</v>
      </c>
      <c r="BA26" s="116">
        <f t="shared" ref="BA26:BA39" si="34">AZ26+AU26</f>
        <v>17</v>
      </c>
      <c r="BB26" s="105"/>
      <c r="BC26" s="119" t="s">
        <v>104</v>
      </c>
      <c r="BD26" s="123"/>
    </row>
    <row r="27" spans="1:56" x14ac:dyDescent="0.2">
      <c r="B27" s="68">
        <v>2</v>
      </c>
      <c r="C27" s="59" t="s">
        <v>46</v>
      </c>
      <c r="D27" s="71">
        <v>32.893785095650514</v>
      </c>
      <c r="E27" s="71">
        <v>691.75621490434946</v>
      </c>
      <c r="F27" s="71">
        <v>724.65</v>
      </c>
      <c r="G27" s="111">
        <f t="shared" si="21"/>
        <v>1.5295073662881506E-2</v>
      </c>
      <c r="H27" s="58">
        <f t="shared" si="22"/>
        <v>44.233353033053312</v>
      </c>
      <c r="I27" s="112">
        <v>44</v>
      </c>
      <c r="J27" s="58">
        <f t="shared" si="23"/>
        <v>25.542773017012117</v>
      </c>
      <c r="K27" s="112">
        <v>26</v>
      </c>
      <c r="L27" s="105"/>
      <c r="Q27" s="105"/>
      <c r="R27" s="105"/>
      <c r="S27" s="113"/>
      <c r="T27" s="114">
        <f t="shared" si="16"/>
        <v>0</v>
      </c>
      <c r="U27" s="114"/>
      <c r="V27" s="114"/>
      <c r="W27" s="114">
        <f t="shared" si="6"/>
        <v>0</v>
      </c>
      <c r="X27" s="114"/>
      <c r="Y27" s="114">
        <f t="shared" si="24"/>
        <v>0</v>
      </c>
      <c r="Z27" s="114"/>
      <c r="AA27" s="114"/>
      <c r="AB27" s="114">
        <f t="shared" si="25"/>
        <v>0</v>
      </c>
      <c r="AC27" s="114">
        <f t="shared" si="8"/>
        <v>0</v>
      </c>
      <c r="AD27" s="105"/>
      <c r="AE27" s="113"/>
      <c r="AF27" s="115">
        <f t="shared" si="26"/>
        <v>0</v>
      </c>
      <c r="AG27" s="115"/>
      <c r="AH27" s="115"/>
      <c r="AI27" s="115">
        <f t="shared" si="27"/>
        <v>0</v>
      </c>
      <c r="AJ27" s="115"/>
      <c r="AK27" s="115">
        <f t="shared" si="28"/>
        <v>0</v>
      </c>
      <c r="AL27" s="115"/>
      <c r="AM27" s="115"/>
      <c r="AN27" s="115">
        <f t="shared" si="29"/>
        <v>0</v>
      </c>
      <c r="AO27" s="115">
        <f t="shared" si="30"/>
        <v>0</v>
      </c>
      <c r="AP27" s="105"/>
      <c r="AQ27" s="105"/>
      <c r="AR27" s="116">
        <f t="shared" si="12"/>
        <v>0</v>
      </c>
      <c r="AS27" s="116"/>
      <c r="AT27" s="116"/>
      <c r="AU27" s="116">
        <f t="shared" si="31"/>
        <v>0</v>
      </c>
      <c r="AV27" s="105"/>
      <c r="AW27" s="116">
        <f t="shared" si="32"/>
        <v>0</v>
      </c>
      <c r="AX27" s="116"/>
      <c r="AY27" s="116"/>
      <c r="AZ27" s="116">
        <f t="shared" si="33"/>
        <v>0</v>
      </c>
      <c r="BA27" s="116">
        <f t="shared" si="34"/>
        <v>0</v>
      </c>
      <c r="BB27" s="105"/>
      <c r="BC27" s="119"/>
      <c r="BD27" s="123"/>
    </row>
    <row r="28" spans="1:56" x14ac:dyDescent="0.2">
      <c r="B28" s="68">
        <v>3</v>
      </c>
      <c r="C28" s="59" t="s">
        <v>47</v>
      </c>
      <c r="D28" s="71">
        <v>197.03377272294659</v>
      </c>
      <c r="E28" s="71">
        <v>127.45622727705342</v>
      </c>
      <c r="F28" s="71">
        <v>324.49</v>
      </c>
      <c r="G28" s="111">
        <f t="shared" si="21"/>
        <v>6.8489594326480649E-3</v>
      </c>
      <c r="H28" s="58">
        <f t="shared" si="22"/>
        <v>19.807190679218202</v>
      </c>
      <c r="I28" s="112">
        <v>20</v>
      </c>
      <c r="J28" s="58">
        <f t="shared" si="23"/>
        <v>11.437762252522269</v>
      </c>
      <c r="K28" s="112">
        <v>11</v>
      </c>
      <c r="L28" s="105" t="s">
        <v>122</v>
      </c>
      <c r="M28" s="161" t="s">
        <v>122</v>
      </c>
      <c r="Q28" s="105"/>
      <c r="R28" s="105"/>
      <c r="S28" s="113">
        <v>800</v>
      </c>
      <c r="T28" s="114">
        <f t="shared" si="16"/>
        <v>20</v>
      </c>
      <c r="U28" s="114"/>
      <c r="V28" s="114"/>
      <c r="W28" s="114">
        <f t="shared" si="6"/>
        <v>20</v>
      </c>
      <c r="X28" s="114"/>
      <c r="Y28" s="114">
        <f t="shared" si="24"/>
        <v>0</v>
      </c>
      <c r="Z28" s="114"/>
      <c r="AA28" s="114"/>
      <c r="AB28" s="114">
        <f t="shared" si="25"/>
        <v>0</v>
      </c>
      <c r="AC28" s="114">
        <f t="shared" si="8"/>
        <v>20</v>
      </c>
      <c r="AD28" s="105"/>
      <c r="AE28" s="113"/>
      <c r="AF28" s="115">
        <f t="shared" si="26"/>
        <v>0</v>
      </c>
      <c r="AG28" s="115"/>
      <c r="AH28" s="115"/>
      <c r="AI28" s="115">
        <f t="shared" si="27"/>
        <v>0</v>
      </c>
      <c r="AJ28" s="115"/>
      <c r="AK28" s="115">
        <f t="shared" si="28"/>
        <v>0</v>
      </c>
      <c r="AL28" s="115"/>
      <c r="AM28" s="115"/>
      <c r="AN28" s="115">
        <f t="shared" si="29"/>
        <v>0</v>
      </c>
      <c r="AO28" s="115">
        <f t="shared" si="30"/>
        <v>0</v>
      </c>
      <c r="AP28" s="105"/>
      <c r="AQ28" s="105">
        <v>165</v>
      </c>
      <c r="AR28" s="116">
        <f t="shared" si="12"/>
        <v>11</v>
      </c>
      <c r="AS28" s="116"/>
      <c r="AT28" s="116"/>
      <c r="AU28" s="116">
        <f t="shared" si="31"/>
        <v>11</v>
      </c>
      <c r="AV28" s="105"/>
      <c r="AW28" s="116">
        <f t="shared" si="32"/>
        <v>0</v>
      </c>
      <c r="AX28" s="116"/>
      <c r="AY28" s="116"/>
      <c r="AZ28" s="116">
        <f t="shared" si="33"/>
        <v>0</v>
      </c>
      <c r="BA28" s="116">
        <f t="shared" si="34"/>
        <v>11</v>
      </c>
      <c r="BB28" s="105"/>
      <c r="BC28" s="119" t="s">
        <v>139</v>
      </c>
      <c r="BD28" s="123"/>
    </row>
    <row r="29" spans="1:56" x14ac:dyDescent="0.2">
      <c r="A29" s="59" t="s">
        <v>107</v>
      </c>
      <c r="B29" s="68">
        <v>4</v>
      </c>
      <c r="C29" s="59" t="s">
        <v>48</v>
      </c>
      <c r="D29" s="71">
        <v>2768.5602455505855</v>
      </c>
      <c r="E29" s="71">
        <v>46.869754449414359</v>
      </c>
      <c r="F29" s="71">
        <v>2815.43</v>
      </c>
      <c r="G29" s="111">
        <f t="shared" si="21"/>
        <v>5.9424838532652284E-2</v>
      </c>
      <c r="H29" s="58">
        <f t="shared" si="22"/>
        <v>171.8566330364304</v>
      </c>
      <c r="I29" s="112">
        <v>172</v>
      </c>
      <c r="J29" s="58">
        <f t="shared" si="23"/>
        <v>99.239480349529316</v>
      </c>
      <c r="K29" s="112">
        <v>99</v>
      </c>
      <c r="L29" s="105" t="s">
        <v>85</v>
      </c>
      <c r="M29" s="161" t="s">
        <v>129</v>
      </c>
      <c r="Q29" s="105"/>
      <c r="R29" s="105"/>
      <c r="S29" s="113">
        <f>1280+1376+1160+360</f>
        <v>4176</v>
      </c>
      <c r="T29" s="114">
        <f t="shared" si="16"/>
        <v>104.4</v>
      </c>
      <c r="U29" s="114">
        <f>1280+1376+1160+360</f>
        <v>4176</v>
      </c>
      <c r="V29" s="114"/>
      <c r="W29" s="114">
        <f t="shared" si="6"/>
        <v>104.4</v>
      </c>
      <c r="X29" s="114"/>
      <c r="Y29" s="114">
        <f t="shared" si="24"/>
        <v>0</v>
      </c>
      <c r="Z29" s="114">
        <f>1280+1376+1160+360</f>
        <v>4176</v>
      </c>
      <c r="AA29" s="114">
        <v>500</v>
      </c>
      <c r="AB29" s="114">
        <f t="shared" si="25"/>
        <v>500</v>
      </c>
      <c r="AC29" s="114">
        <f t="shared" si="8"/>
        <v>604.4</v>
      </c>
      <c r="AD29" s="105"/>
      <c r="AE29" s="113"/>
      <c r="AF29" s="115">
        <f t="shared" si="26"/>
        <v>0</v>
      </c>
      <c r="AG29" s="115">
        <f>1280+1376+1160+360</f>
        <v>4176</v>
      </c>
      <c r="AH29" s="115"/>
      <c r="AI29" s="115">
        <f t="shared" si="27"/>
        <v>0</v>
      </c>
      <c r="AJ29" s="115"/>
      <c r="AK29" s="115">
        <f t="shared" si="28"/>
        <v>0</v>
      </c>
      <c r="AL29" s="115">
        <f>1280+1376+1160+360</f>
        <v>4176</v>
      </c>
      <c r="AM29" s="115"/>
      <c r="AN29" s="115">
        <f t="shared" si="29"/>
        <v>0</v>
      </c>
      <c r="AO29" s="115">
        <f t="shared" si="30"/>
        <v>0</v>
      </c>
      <c r="AP29" s="105"/>
      <c r="AQ29" s="105">
        <f>80+295+285+55+300</f>
        <v>1015</v>
      </c>
      <c r="AR29" s="116">
        <f t="shared" si="12"/>
        <v>67.666666666666671</v>
      </c>
      <c r="AS29" s="116"/>
      <c r="AT29" s="116"/>
      <c r="AU29" s="116">
        <f t="shared" si="31"/>
        <v>67.666666666666671</v>
      </c>
      <c r="AV29" s="105"/>
      <c r="AW29" s="116">
        <f t="shared" si="32"/>
        <v>0</v>
      </c>
      <c r="AX29" s="116"/>
      <c r="AY29" s="116"/>
      <c r="AZ29" s="116">
        <f t="shared" si="33"/>
        <v>0</v>
      </c>
      <c r="BA29" s="116">
        <f t="shared" si="34"/>
        <v>67.666666666666671</v>
      </c>
      <c r="BB29" s="105"/>
      <c r="BC29" s="119" t="s">
        <v>103</v>
      </c>
      <c r="BD29" s="123"/>
    </row>
    <row r="30" spans="1:56" x14ac:dyDescent="0.2">
      <c r="B30" s="68">
        <v>5</v>
      </c>
      <c r="C30" s="59" t="s">
        <v>49</v>
      </c>
      <c r="D30" s="71">
        <v>99.448876939183407</v>
      </c>
      <c r="E30" s="71">
        <v>597.07112306081672</v>
      </c>
      <c r="F30" s="71">
        <v>696.5200000000001</v>
      </c>
      <c r="G30" s="111">
        <f t="shared" si="21"/>
        <v>1.4701338173835959E-2</v>
      </c>
      <c r="H30" s="58">
        <f t="shared" si="22"/>
        <v>42.516269998733591</v>
      </c>
      <c r="I30" s="112">
        <v>43</v>
      </c>
      <c r="J30" s="58">
        <f t="shared" si="23"/>
        <v>24.551234750306051</v>
      </c>
      <c r="K30" s="112">
        <v>25</v>
      </c>
      <c r="L30" s="105"/>
      <c r="Q30" s="105"/>
      <c r="R30" s="105"/>
      <c r="S30" s="113">
        <f>200+120+240+290+200+120+106.5</f>
        <v>1276.5</v>
      </c>
      <c r="T30" s="114">
        <f t="shared" si="16"/>
        <v>31.912500000000001</v>
      </c>
      <c r="U30" s="114">
        <v>1720</v>
      </c>
      <c r="V30" s="114">
        <f>I30-T30</f>
        <v>11.087499999999999</v>
      </c>
      <c r="W30" s="114">
        <f t="shared" si="6"/>
        <v>43</v>
      </c>
      <c r="X30" s="114"/>
      <c r="Y30" s="114">
        <f t="shared" si="24"/>
        <v>0</v>
      </c>
      <c r="Z30" s="114">
        <v>1720</v>
      </c>
      <c r="AA30" s="114"/>
      <c r="AB30" s="114">
        <f t="shared" si="25"/>
        <v>0</v>
      </c>
      <c r="AC30" s="114">
        <f t="shared" si="8"/>
        <v>43</v>
      </c>
      <c r="AD30" s="105"/>
      <c r="AE30" s="113"/>
      <c r="AF30" s="115">
        <f t="shared" si="26"/>
        <v>0</v>
      </c>
      <c r="AG30" s="115">
        <v>1720</v>
      </c>
      <c r="AH30" s="115"/>
      <c r="AI30" s="115">
        <f t="shared" si="27"/>
        <v>0</v>
      </c>
      <c r="AJ30" s="115"/>
      <c r="AK30" s="115">
        <f t="shared" si="28"/>
        <v>0</v>
      </c>
      <c r="AL30" s="115">
        <v>1720</v>
      </c>
      <c r="AM30" s="115"/>
      <c r="AN30" s="115">
        <f t="shared" si="29"/>
        <v>0</v>
      </c>
      <c r="AO30" s="115">
        <f t="shared" si="30"/>
        <v>0</v>
      </c>
      <c r="AP30" s="105"/>
      <c r="AQ30" s="105"/>
      <c r="AR30" s="116">
        <f t="shared" si="12"/>
        <v>0</v>
      </c>
      <c r="AS30" s="116"/>
      <c r="AT30" s="116"/>
      <c r="AU30" s="116">
        <f t="shared" si="31"/>
        <v>0</v>
      </c>
      <c r="AV30" s="105"/>
      <c r="AW30" s="116">
        <f t="shared" si="32"/>
        <v>0</v>
      </c>
      <c r="AX30" s="116"/>
      <c r="AY30" s="116"/>
      <c r="AZ30" s="116">
        <f t="shared" si="33"/>
        <v>0</v>
      </c>
      <c r="BA30" s="116">
        <f t="shared" si="34"/>
        <v>0</v>
      </c>
      <c r="BB30" s="105"/>
      <c r="BC30" s="119"/>
      <c r="BD30" s="123"/>
    </row>
    <row r="31" spans="1:56" x14ac:dyDescent="0.2">
      <c r="B31" s="68">
        <v>6</v>
      </c>
      <c r="C31" s="59" t="s">
        <v>50</v>
      </c>
      <c r="D31" s="71">
        <v>15.898662796231084</v>
      </c>
      <c r="E31" s="71">
        <v>396.60133720376894</v>
      </c>
      <c r="F31" s="71">
        <v>412.5</v>
      </c>
      <c r="G31" s="111">
        <f t="shared" si="21"/>
        <v>8.7065726708598929E-3</v>
      </c>
      <c r="H31" s="58">
        <f t="shared" si="22"/>
        <v>25.179408164126809</v>
      </c>
      <c r="I31" s="112">
        <v>25</v>
      </c>
      <c r="J31" s="58">
        <f t="shared" si="23"/>
        <v>14.539976360336022</v>
      </c>
      <c r="K31" s="112">
        <v>15</v>
      </c>
      <c r="L31" s="105" t="s">
        <v>83</v>
      </c>
      <c r="M31" s="161" t="s">
        <v>122</v>
      </c>
      <c r="Q31" s="105"/>
      <c r="R31" s="105"/>
      <c r="S31" s="113">
        <f>400+600+480+600</f>
        <v>2080</v>
      </c>
      <c r="T31" s="114">
        <f t="shared" si="16"/>
        <v>52</v>
      </c>
      <c r="U31" s="114">
        <f>660+400+1000</f>
        <v>2060</v>
      </c>
      <c r="V31" s="114"/>
      <c r="W31" s="114">
        <f t="shared" si="6"/>
        <v>52</v>
      </c>
      <c r="X31" s="114"/>
      <c r="Y31" s="114">
        <f t="shared" si="24"/>
        <v>0</v>
      </c>
      <c r="Z31" s="114">
        <f>660+400+1000</f>
        <v>2060</v>
      </c>
      <c r="AA31" s="114"/>
      <c r="AB31" s="114">
        <f t="shared" si="25"/>
        <v>0</v>
      </c>
      <c r="AC31" s="114">
        <f t="shared" si="8"/>
        <v>52</v>
      </c>
      <c r="AD31" s="105"/>
      <c r="AE31" s="113"/>
      <c r="AF31" s="115">
        <f t="shared" si="26"/>
        <v>0</v>
      </c>
      <c r="AG31" s="115">
        <f>660+400+1000</f>
        <v>2060</v>
      </c>
      <c r="AH31" s="115"/>
      <c r="AI31" s="115">
        <f t="shared" si="27"/>
        <v>0</v>
      </c>
      <c r="AJ31" s="115"/>
      <c r="AK31" s="115">
        <f t="shared" si="28"/>
        <v>0</v>
      </c>
      <c r="AL31" s="115">
        <f>660+400+1000</f>
        <v>2060</v>
      </c>
      <c r="AM31" s="115"/>
      <c r="AN31" s="115">
        <f t="shared" si="29"/>
        <v>0</v>
      </c>
      <c r="AO31" s="115">
        <f t="shared" si="30"/>
        <v>0</v>
      </c>
      <c r="AP31" s="105"/>
      <c r="AQ31" s="105">
        <f>155+90</f>
        <v>245</v>
      </c>
      <c r="AR31" s="116">
        <f t="shared" si="12"/>
        <v>16.333333333333332</v>
      </c>
      <c r="AS31" s="116"/>
      <c r="AT31" s="116"/>
      <c r="AU31" s="116">
        <f t="shared" si="31"/>
        <v>16.333333333333332</v>
      </c>
      <c r="AV31" s="105"/>
      <c r="AW31" s="116">
        <f t="shared" si="32"/>
        <v>0</v>
      </c>
      <c r="AX31" s="116"/>
      <c r="AY31" s="116"/>
      <c r="AZ31" s="116">
        <f t="shared" si="33"/>
        <v>0</v>
      </c>
      <c r="BA31" s="116">
        <f t="shared" si="34"/>
        <v>16.333333333333332</v>
      </c>
      <c r="BB31" s="105"/>
      <c r="BC31" s="119" t="s">
        <v>95</v>
      </c>
      <c r="BD31" s="123"/>
    </row>
    <row r="32" spans="1:56" s="120" customFormat="1" x14ac:dyDescent="0.2">
      <c r="A32" s="62"/>
      <c r="B32" s="70">
        <v>7</v>
      </c>
      <c r="C32" s="62" t="s">
        <v>51</v>
      </c>
      <c r="D32" s="128">
        <v>196.26625107071476</v>
      </c>
      <c r="E32" s="128">
        <v>350.73374892928524</v>
      </c>
      <c r="F32" s="128">
        <v>547</v>
      </c>
      <c r="G32" s="129">
        <f t="shared" si="21"/>
        <v>1.154544303263118E-2</v>
      </c>
      <c r="H32" s="128">
        <f t="shared" si="22"/>
        <v>33.389421250369374</v>
      </c>
      <c r="I32" s="112">
        <v>33</v>
      </c>
      <c r="J32" s="130">
        <f t="shared" si="23"/>
        <v>19.280889864494071</v>
      </c>
      <c r="K32" s="112">
        <v>19</v>
      </c>
      <c r="L32" s="105" t="s">
        <v>83</v>
      </c>
      <c r="M32" s="161"/>
      <c r="N32" s="161"/>
      <c r="O32" s="161"/>
      <c r="P32" s="105"/>
      <c r="Q32" s="105"/>
      <c r="R32" s="105"/>
      <c r="S32" s="113">
        <v>544</v>
      </c>
      <c r="T32" s="114">
        <f t="shared" si="16"/>
        <v>13.6</v>
      </c>
      <c r="U32" s="114">
        <f>649+988</f>
        <v>1637</v>
      </c>
      <c r="V32" s="114"/>
      <c r="W32" s="114">
        <f t="shared" si="6"/>
        <v>13.6</v>
      </c>
      <c r="X32" s="114"/>
      <c r="Y32" s="114">
        <f t="shared" si="24"/>
        <v>0</v>
      </c>
      <c r="Z32" s="114">
        <f>649+988</f>
        <v>1637</v>
      </c>
      <c r="AA32" s="114"/>
      <c r="AB32" s="114">
        <f t="shared" si="25"/>
        <v>0</v>
      </c>
      <c r="AC32" s="114">
        <f t="shared" si="8"/>
        <v>13.6</v>
      </c>
      <c r="AD32" s="105"/>
      <c r="AE32" s="113"/>
      <c r="AF32" s="115">
        <f t="shared" si="26"/>
        <v>0</v>
      </c>
      <c r="AG32" s="115">
        <f>649+988</f>
        <v>1637</v>
      </c>
      <c r="AH32" s="115"/>
      <c r="AI32" s="115">
        <f t="shared" si="27"/>
        <v>0</v>
      </c>
      <c r="AJ32" s="115"/>
      <c r="AK32" s="115">
        <f t="shared" si="28"/>
        <v>0</v>
      </c>
      <c r="AL32" s="115">
        <f>649+988</f>
        <v>1637</v>
      </c>
      <c r="AM32" s="115"/>
      <c r="AN32" s="115">
        <f t="shared" si="29"/>
        <v>0</v>
      </c>
      <c r="AO32" s="115">
        <f t="shared" si="30"/>
        <v>0</v>
      </c>
      <c r="AP32" s="105"/>
      <c r="AQ32" s="105">
        <v>253.5</v>
      </c>
      <c r="AR32" s="116">
        <f t="shared" si="12"/>
        <v>16.899999999999999</v>
      </c>
      <c r="AS32" s="116"/>
      <c r="AT32" s="116"/>
      <c r="AU32" s="116">
        <f t="shared" si="31"/>
        <v>16.899999999999999</v>
      </c>
      <c r="AV32" s="105"/>
      <c r="AW32" s="116">
        <f t="shared" si="32"/>
        <v>0</v>
      </c>
      <c r="AX32" s="116"/>
      <c r="AY32" s="116"/>
      <c r="AZ32" s="116">
        <f t="shared" si="33"/>
        <v>0</v>
      </c>
      <c r="BA32" s="116">
        <f t="shared" si="34"/>
        <v>16.899999999999999</v>
      </c>
      <c r="BB32" s="105"/>
      <c r="BC32" s="119" t="s">
        <v>138</v>
      </c>
      <c r="BD32" s="123"/>
    </row>
    <row r="33" spans="1:60" x14ac:dyDescent="0.2">
      <c r="B33" s="68">
        <v>8</v>
      </c>
      <c r="C33" s="59" t="s">
        <v>52</v>
      </c>
      <c r="D33" s="71">
        <v>0</v>
      </c>
      <c r="E33" s="71">
        <v>325</v>
      </c>
      <c r="F33" s="71">
        <v>325</v>
      </c>
      <c r="G33" s="111">
        <f t="shared" si="21"/>
        <v>6.8597239224956735E-3</v>
      </c>
      <c r="H33" s="58">
        <f t="shared" si="22"/>
        <v>19.838321583857489</v>
      </c>
      <c r="I33" s="112">
        <v>20</v>
      </c>
      <c r="J33" s="58">
        <f t="shared" si="23"/>
        <v>11.455738950567774</v>
      </c>
      <c r="K33" s="112">
        <v>11</v>
      </c>
      <c r="L33" s="105" t="s">
        <v>87</v>
      </c>
      <c r="M33" s="161" t="s">
        <v>88</v>
      </c>
      <c r="Q33" s="105"/>
      <c r="R33" s="105"/>
      <c r="S33" s="113">
        <f>800</f>
        <v>800</v>
      </c>
      <c r="T33" s="114">
        <f t="shared" si="16"/>
        <v>20</v>
      </c>
      <c r="U33" s="114">
        <f>800</f>
        <v>800</v>
      </c>
      <c r="V33" s="114"/>
      <c r="W33" s="114">
        <f t="shared" si="6"/>
        <v>20</v>
      </c>
      <c r="X33" s="114"/>
      <c r="Y33" s="114">
        <f t="shared" si="24"/>
        <v>0</v>
      </c>
      <c r="Z33" s="114">
        <f>800</f>
        <v>800</v>
      </c>
      <c r="AA33" s="114"/>
      <c r="AB33" s="114">
        <f t="shared" si="25"/>
        <v>0</v>
      </c>
      <c r="AC33" s="114">
        <f t="shared" si="8"/>
        <v>20</v>
      </c>
      <c r="AD33" s="105"/>
      <c r="AE33" s="113"/>
      <c r="AF33" s="115">
        <f t="shared" si="26"/>
        <v>0</v>
      </c>
      <c r="AG33" s="115">
        <f>800</f>
        <v>800</v>
      </c>
      <c r="AH33" s="115"/>
      <c r="AI33" s="115">
        <f t="shared" si="27"/>
        <v>0</v>
      </c>
      <c r="AJ33" s="115"/>
      <c r="AK33" s="115">
        <f t="shared" si="28"/>
        <v>0</v>
      </c>
      <c r="AL33" s="115">
        <f>800</f>
        <v>800</v>
      </c>
      <c r="AM33" s="115"/>
      <c r="AN33" s="115">
        <f t="shared" si="29"/>
        <v>0</v>
      </c>
      <c r="AO33" s="115">
        <f t="shared" si="30"/>
        <v>0</v>
      </c>
      <c r="AP33" s="105"/>
      <c r="AQ33" s="105">
        <f>165</f>
        <v>165</v>
      </c>
      <c r="AR33" s="116">
        <f t="shared" si="12"/>
        <v>11</v>
      </c>
      <c r="AS33" s="116"/>
      <c r="AT33" s="116"/>
      <c r="AU33" s="116">
        <f t="shared" si="31"/>
        <v>11</v>
      </c>
      <c r="AV33" s="105"/>
      <c r="AW33" s="116">
        <f t="shared" si="32"/>
        <v>0</v>
      </c>
      <c r="AX33" s="116"/>
      <c r="AY33" s="116"/>
      <c r="AZ33" s="116">
        <f t="shared" si="33"/>
        <v>0</v>
      </c>
      <c r="BA33" s="116">
        <f t="shared" si="34"/>
        <v>11</v>
      </c>
      <c r="BB33" s="105"/>
      <c r="BC33" s="119" t="s">
        <v>93</v>
      </c>
      <c r="BD33" s="123"/>
    </row>
    <row r="34" spans="1:60" x14ac:dyDescent="0.2">
      <c r="B34" s="68">
        <v>9</v>
      </c>
      <c r="C34" s="59" t="s">
        <v>53</v>
      </c>
      <c r="D34" s="71">
        <v>188.59103454839629</v>
      </c>
      <c r="E34" s="71">
        <v>530.40896545160376</v>
      </c>
      <c r="F34" s="71">
        <v>719</v>
      </c>
      <c r="G34" s="111">
        <f t="shared" si="21"/>
        <v>1.5175820000844274E-2</v>
      </c>
      <c r="H34" s="58">
        <f t="shared" si="22"/>
        <v>43.888471442441642</v>
      </c>
      <c r="I34" s="112">
        <v>44</v>
      </c>
      <c r="J34" s="58">
        <f t="shared" si="23"/>
        <v>25.343619401409939</v>
      </c>
      <c r="K34" s="112">
        <v>25</v>
      </c>
      <c r="L34" s="105"/>
      <c r="Q34" s="105"/>
      <c r="R34" s="105"/>
      <c r="S34" s="113"/>
      <c r="T34" s="114">
        <f t="shared" si="16"/>
        <v>0</v>
      </c>
      <c r="U34" s="114"/>
      <c r="V34" s="114"/>
      <c r="W34" s="114">
        <f t="shared" si="6"/>
        <v>0</v>
      </c>
      <c r="X34" s="114"/>
      <c r="Y34" s="114">
        <f t="shared" si="24"/>
        <v>0</v>
      </c>
      <c r="Z34" s="114"/>
      <c r="AA34" s="114"/>
      <c r="AB34" s="114">
        <f t="shared" si="25"/>
        <v>0</v>
      </c>
      <c r="AC34" s="114">
        <f t="shared" si="8"/>
        <v>0</v>
      </c>
      <c r="AD34" s="105"/>
      <c r="AE34" s="113"/>
      <c r="AF34" s="115">
        <f t="shared" si="26"/>
        <v>0</v>
      </c>
      <c r="AG34" s="115"/>
      <c r="AH34" s="115"/>
      <c r="AI34" s="115">
        <f t="shared" si="27"/>
        <v>0</v>
      </c>
      <c r="AJ34" s="115"/>
      <c r="AK34" s="115">
        <f t="shared" si="28"/>
        <v>0</v>
      </c>
      <c r="AL34" s="115"/>
      <c r="AM34" s="115"/>
      <c r="AN34" s="115">
        <f t="shared" si="29"/>
        <v>0</v>
      </c>
      <c r="AO34" s="115">
        <f t="shared" si="30"/>
        <v>0</v>
      </c>
      <c r="AP34" s="105"/>
      <c r="AQ34" s="105"/>
      <c r="AR34" s="116">
        <f t="shared" si="12"/>
        <v>0</v>
      </c>
      <c r="AS34" s="116"/>
      <c r="AT34" s="116"/>
      <c r="AU34" s="116">
        <f t="shared" si="31"/>
        <v>0</v>
      </c>
      <c r="AV34" s="105"/>
      <c r="AW34" s="116">
        <f t="shared" si="32"/>
        <v>0</v>
      </c>
      <c r="AX34" s="116"/>
      <c r="AY34" s="116"/>
      <c r="AZ34" s="116">
        <f t="shared" si="33"/>
        <v>0</v>
      </c>
      <c r="BA34" s="116">
        <f t="shared" si="34"/>
        <v>0</v>
      </c>
      <c r="BB34" s="105"/>
      <c r="BC34" s="119"/>
      <c r="BD34" s="123"/>
    </row>
    <row r="35" spans="1:60" x14ac:dyDescent="0.2">
      <c r="B35" s="68">
        <v>10</v>
      </c>
      <c r="C35" s="59" t="s">
        <v>54</v>
      </c>
      <c r="D35" s="71">
        <v>29.056176834491293</v>
      </c>
      <c r="E35" s="71">
        <v>376.44382316550872</v>
      </c>
      <c r="F35" s="71">
        <v>405.5</v>
      </c>
      <c r="G35" s="111">
        <f t="shared" si="21"/>
        <v>8.5588247709907552E-3</v>
      </c>
      <c r="H35" s="58">
        <f t="shared" si="22"/>
        <v>24.752121237705264</v>
      </c>
      <c r="I35" s="112">
        <v>25</v>
      </c>
      <c r="J35" s="58">
        <f t="shared" si="23"/>
        <v>14.293237367554561</v>
      </c>
      <c r="K35" s="112">
        <v>14</v>
      </c>
      <c r="L35" s="105"/>
      <c r="Q35" s="105"/>
      <c r="R35" s="105"/>
      <c r="S35" s="113"/>
      <c r="T35" s="114">
        <f t="shared" si="16"/>
        <v>0</v>
      </c>
      <c r="U35" s="114"/>
      <c r="V35" s="114"/>
      <c r="W35" s="114">
        <f t="shared" si="6"/>
        <v>0</v>
      </c>
      <c r="X35" s="114"/>
      <c r="Y35" s="114">
        <f t="shared" si="24"/>
        <v>0</v>
      </c>
      <c r="Z35" s="114"/>
      <c r="AA35" s="114"/>
      <c r="AB35" s="114">
        <f t="shared" si="25"/>
        <v>0</v>
      </c>
      <c r="AC35" s="114">
        <f t="shared" si="8"/>
        <v>0</v>
      </c>
      <c r="AD35" s="105"/>
      <c r="AE35" s="113"/>
      <c r="AF35" s="115">
        <f t="shared" si="26"/>
        <v>0</v>
      </c>
      <c r="AG35" s="115"/>
      <c r="AH35" s="115"/>
      <c r="AI35" s="115">
        <f t="shared" si="27"/>
        <v>0</v>
      </c>
      <c r="AJ35" s="115"/>
      <c r="AK35" s="115">
        <f t="shared" si="28"/>
        <v>0</v>
      </c>
      <c r="AL35" s="115"/>
      <c r="AM35" s="115"/>
      <c r="AN35" s="115">
        <f t="shared" si="29"/>
        <v>0</v>
      </c>
      <c r="AO35" s="115">
        <f t="shared" si="30"/>
        <v>0</v>
      </c>
      <c r="AP35" s="105"/>
      <c r="AQ35" s="105"/>
      <c r="AR35" s="116">
        <f t="shared" si="12"/>
        <v>0</v>
      </c>
      <c r="AS35" s="116"/>
      <c r="AT35" s="116"/>
      <c r="AU35" s="116">
        <f t="shared" si="31"/>
        <v>0</v>
      </c>
      <c r="AV35" s="105"/>
      <c r="AW35" s="116">
        <f t="shared" si="32"/>
        <v>0</v>
      </c>
      <c r="AX35" s="116"/>
      <c r="AY35" s="116"/>
      <c r="AZ35" s="116">
        <f t="shared" si="33"/>
        <v>0</v>
      </c>
      <c r="BA35" s="116">
        <f t="shared" si="34"/>
        <v>0</v>
      </c>
      <c r="BB35" s="105"/>
      <c r="BC35" s="119"/>
      <c r="BD35" s="123"/>
    </row>
    <row r="36" spans="1:60" x14ac:dyDescent="0.2">
      <c r="A36" s="59" t="s">
        <v>107</v>
      </c>
      <c r="B36" s="68">
        <v>11</v>
      </c>
      <c r="C36" s="59" t="s">
        <v>55</v>
      </c>
      <c r="D36" s="71">
        <v>1741.1776910631008</v>
      </c>
      <c r="E36" s="71">
        <v>540.82230893689916</v>
      </c>
      <c r="F36" s="71">
        <v>2282</v>
      </c>
      <c r="G36" s="111">
        <f t="shared" si="21"/>
        <v>4.8165815357338847E-2</v>
      </c>
      <c r="H36" s="58">
        <f t="shared" si="22"/>
        <v>139.29553801342394</v>
      </c>
      <c r="I36" s="112">
        <v>140</v>
      </c>
      <c r="J36" s="58">
        <f t="shared" si="23"/>
        <v>80.436911646755874</v>
      </c>
      <c r="K36" s="112">
        <v>80</v>
      </c>
      <c r="L36" s="105"/>
      <c r="Q36" s="105"/>
      <c r="R36" s="105"/>
      <c r="S36" s="113"/>
      <c r="T36" s="114">
        <f t="shared" si="16"/>
        <v>0</v>
      </c>
      <c r="U36" s="114"/>
      <c r="V36" s="114"/>
      <c r="W36" s="114">
        <f t="shared" si="6"/>
        <v>0</v>
      </c>
      <c r="X36" s="114"/>
      <c r="Y36" s="114">
        <f t="shared" si="24"/>
        <v>0</v>
      </c>
      <c r="Z36" s="114"/>
      <c r="AA36" s="114">
        <v>120</v>
      </c>
      <c r="AB36" s="114">
        <f t="shared" si="25"/>
        <v>120</v>
      </c>
      <c r="AC36" s="114">
        <f t="shared" si="8"/>
        <v>120</v>
      </c>
      <c r="AD36" s="105"/>
      <c r="AE36" s="113"/>
      <c r="AF36" s="115">
        <f t="shared" si="26"/>
        <v>0</v>
      </c>
      <c r="AG36" s="115"/>
      <c r="AH36" s="115"/>
      <c r="AI36" s="115">
        <f t="shared" si="27"/>
        <v>0</v>
      </c>
      <c r="AJ36" s="115"/>
      <c r="AK36" s="115">
        <f t="shared" si="28"/>
        <v>0</v>
      </c>
      <c r="AL36" s="115"/>
      <c r="AM36" s="115"/>
      <c r="AN36" s="115">
        <f t="shared" si="29"/>
        <v>0</v>
      </c>
      <c r="AO36" s="115">
        <f t="shared" si="30"/>
        <v>0</v>
      </c>
      <c r="AP36" s="105"/>
      <c r="AQ36" s="105"/>
      <c r="AR36" s="116">
        <f t="shared" si="12"/>
        <v>0</v>
      </c>
      <c r="AS36" s="116"/>
      <c r="AT36" s="116"/>
      <c r="AU36" s="116">
        <f t="shared" si="31"/>
        <v>0</v>
      </c>
      <c r="AV36" s="105"/>
      <c r="AW36" s="116">
        <f t="shared" si="32"/>
        <v>0</v>
      </c>
      <c r="AX36" s="116"/>
      <c r="AY36" s="116"/>
      <c r="AZ36" s="116">
        <f t="shared" si="33"/>
        <v>0</v>
      </c>
      <c r="BA36" s="116">
        <f t="shared" si="34"/>
        <v>0</v>
      </c>
      <c r="BB36" s="105"/>
      <c r="BC36" s="119"/>
      <c r="BD36" s="123"/>
    </row>
    <row r="37" spans="1:60" x14ac:dyDescent="0.2">
      <c r="A37" s="59" t="s">
        <v>107</v>
      </c>
      <c r="B37" s="68">
        <v>12</v>
      </c>
      <c r="C37" s="59" t="s">
        <v>56</v>
      </c>
      <c r="D37" s="71">
        <v>286.72416008375365</v>
      </c>
      <c r="E37" s="71">
        <v>2448.7758399162462</v>
      </c>
      <c r="F37" s="71">
        <v>2735.5</v>
      </c>
      <c r="G37" s="111">
        <f t="shared" si="21"/>
        <v>5.7737768584575119E-2</v>
      </c>
      <c r="H37" s="58">
        <f t="shared" si="22"/>
        <v>166.97762674659126</v>
      </c>
      <c r="I37" s="112">
        <v>167</v>
      </c>
      <c r="J37" s="58">
        <f t="shared" si="23"/>
        <v>96.422073536240447</v>
      </c>
      <c r="K37" s="112">
        <v>96</v>
      </c>
      <c r="L37" s="105"/>
      <c r="Q37" s="105"/>
      <c r="R37" s="105"/>
      <c r="S37" s="113"/>
      <c r="T37" s="114">
        <f t="shared" si="16"/>
        <v>0</v>
      </c>
      <c r="U37" s="114"/>
      <c r="V37" s="114"/>
      <c r="W37" s="114">
        <f t="shared" si="6"/>
        <v>0</v>
      </c>
      <c r="X37" s="114"/>
      <c r="Y37" s="114">
        <f t="shared" si="24"/>
        <v>0</v>
      </c>
      <c r="Z37" s="114"/>
      <c r="AA37" s="114">
        <v>50</v>
      </c>
      <c r="AB37" s="114">
        <f t="shared" si="25"/>
        <v>50</v>
      </c>
      <c r="AC37" s="114">
        <f t="shared" si="8"/>
        <v>50</v>
      </c>
      <c r="AD37" s="105"/>
      <c r="AE37" s="113"/>
      <c r="AF37" s="115">
        <f t="shared" si="26"/>
        <v>0</v>
      </c>
      <c r="AG37" s="115"/>
      <c r="AH37" s="115"/>
      <c r="AI37" s="115">
        <f t="shared" si="27"/>
        <v>0</v>
      </c>
      <c r="AJ37" s="115"/>
      <c r="AK37" s="115">
        <f t="shared" si="28"/>
        <v>0</v>
      </c>
      <c r="AL37" s="115"/>
      <c r="AM37" s="115"/>
      <c r="AN37" s="115">
        <f t="shared" si="29"/>
        <v>0</v>
      </c>
      <c r="AO37" s="115">
        <f t="shared" si="30"/>
        <v>0</v>
      </c>
      <c r="AP37" s="105"/>
      <c r="AQ37" s="105"/>
      <c r="AR37" s="116">
        <f t="shared" si="12"/>
        <v>0</v>
      </c>
      <c r="AS37" s="116"/>
      <c r="AT37" s="116"/>
      <c r="AU37" s="116">
        <f t="shared" si="31"/>
        <v>0</v>
      </c>
      <c r="AV37" s="105"/>
      <c r="AW37" s="116">
        <f t="shared" si="32"/>
        <v>0</v>
      </c>
      <c r="AX37" s="116"/>
      <c r="AY37" s="116"/>
      <c r="AZ37" s="116">
        <f t="shared" si="33"/>
        <v>0</v>
      </c>
      <c r="BA37" s="116">
        <f t="shared" si="34"/>
        <v>0</v>
      </c>
      <c r="BB37" s="105"/>
      <c r="BC37" s="119"/>
      <c r="BD37" s="123"/>
    </row>
    <row r="38" spans="1:60" x14ac:dyDescent="0.2">
      <c r="B38" s="68">
        <v>13</v>
      </c>
      <c r="C38" s="59" t="s">
        <v>57</v>
      </c>
      <c r="D38" s="71">
        <v>590.44344246692674</v>
      </c>
      <c r="E38" s="71">
        <v>3212.0565575330734</v>
      </c>
      <c r="F38" s="71">
        <v>3802.5</v>
      </c>
      <c r="G38" s="111">
        <f t="shared" si="21"/>
        <v>8.0258769893199369E-2</v>
      </c>
      <c r="H38" s="58">
        <f t="shared" si="22"/>
        <v>232.10836253113257</v>
      </c>
      <c r="I38" s="112">
        <v>230</v>
      </c>
      <c r="J38" s="58">
        <f t="shared" si="23"/>
        <v>134.03214572164293</v>
      </c>
      <c r="K38" s="112">
        <v>134</v>
      </c>
      <c r="L38" s="105"/>
      <c r="Q38" s="105"/>
      <c r="R38" s="105"/>
      <c r="S38" s="113"/>
      <c r="T38" s="114">
        <f t="shared" si="16"/>
        <v>0</v>
      </c>
      <c r="U38" s="114"/>
      <c r="V38" s="114"/>
      <c r="W38" s="114">
        <f t="shared" si="6"/>
        <v>0</v>
      </c>
      <c r="X38" s="114"/>
      <c r="Y38" s="114">
        <f t="shared" si="24"/>
        <v>0</v>
      </c>
      <c r="Z38" s="114"/>
      <c r="AA38" s="114"/>
      <c r="AB38" s="114">
        <f t="shared" si="25"/>
        <v>0</v>
      </c>
      <c r="AC38" s="114">
        <f t="shared" si="8"/>
        <v>0</v>
      </c>
      <c r="AD38" s="105"/>
      <c r="AE38" s="113"/>
      <c r="AF38" s="115">
        <f t="shared" si="26"/>
        <v>0</v>
      </c>
      <c r="AG38" s="115"/>
      <c r="AH38" s="115"/>
      <c r="AI38" s="115">
        <f t="shared" si="27"/>
        <v>0</v>
      </c>
      <c r="AJ38" s="115"/>
      <c r="AK38" s="115">
        <f t="shared" si="28"/>
        <v>0</v>
      </c>
      <c r="AL38" s="115"/>
      <c r="AM38" s="115"/>
      <c r="AN38" s="115">
        <f t="shared" si="29"/>
        <v>0</v>
      </c>
      <c r="AO38" s="115">
        <f t="shared" si="30"/>
        <v>0</v>
      </c>
      <c r="AP38" s="105"/>
      <c r="AQ38" s="105"/>
      <c r="AR38" s="116">
        <f t="shared" si="12"/>
        <v>0</v>
      </c>
      <c r="AS38" s="116"/>
      <c r="AT38" s="116"/>
      <c r="AU38" s="116">
        <f t="shared" si="31"/>
        <v>0</v>
      </c>
      <c r="AV38" s="105"/>
      <c r="AW38" s="116">
        <f t="shared" si="32"/>
        <v>0</v>
      </c>
      <c r="AX38" s="116"/>
      <c r="AY38" s="116"/>
      <c r="AZ38" s="116">
        <f t="shared" si="33"/>
        <v>0</v>
      </c>
      <c r="BA38" s="116">
        <f t="shared" si="34"/>
        <v>0</v>
      </c>
      <c r="BB38" s="105"/>
      <c r="BC38" s="119"/>
      <c r="BD38" s="123"/>
    </row>
    <row r="39" spans="1:60" x14ac:dyDescent="0.2">
      <c r="A39" s="59" t="s">
        <v>107</v>
      </c>
      <c r="B39" s="68">
        <v>14</v>
      </c>
      <c r="C39" s="59" t="s">
        <v>58</v>
      </c>
      <c r="D39" s="71">
        <v>4536.0529646902069</v>
      </c>
      <c r="E39" s="71">
        <v>1528.9470353097931</v>
      </c>
      <c r="F39" s="71">
        <v>6065</v>
      </c>
      <c r="G39" s="111">
        <f t="shared" si="21"/>
        <v>0.12801300181518849</v>
      </c>
      <c r="H39" s="58">
        <f t="shared" si="22"/>
        <v>370.21360124952508</v>
      </c>
      <c r="I39" s="112">
        <v>368</v>
      </c>
      <c r="J39" s="58">
        <f t="shared" si="23"/>
        <v>213.78171303136477</v>
      </c>
      <c r="K39" s="112">
        <v>214</v>
      </c>
      <c r="L39" s="105"/>
      <c r="Q39" s="105"/>
      <c r="R39" s="105"/>
      <c r="S39" s="113"/>
      <c r="T39" s="114">
        <f t="shared" si="16"/>
        <v>0</v>
      </c>
      <c r="U39" s="114"/>
      <c r="V39" s="114"/>
      <c r="W39" s="114">
        <f t="shared" si="6"/>
        <v>0</v>
      </c>
      <c r="X39" s="114"/>
      <c r="Y39" s="114">
        <f t="shared" si="24"/>
        <v>0</v>
      </c>
      <c r="Z39" s="114"/>
      <c r="AA39" s="114"/>
      <c r="AB39" s="114">
        <f t="shared" si="25"/>
        <v>0</v>
      </c>
      <c r="AC39" s="114">
        <f t="shared" si="8"/>
        <v>0</v>
      </c>
      <c r="AD39" s="105"/>
      <c r="AE39" s="113">
        <v>7880</v>
      </c>
      <c r="AF39" s="115">
        <f t="shared" si="26"/>
        <v>197</v>
      </c>
      <c r="AG39" s="115"/>
      <c r="AH39" s="115">
        <v>171</v>
      </c>
      <c r="AI39" s="115">
        <f t="shared" si="27"/>
        <v>368</v>
      </c>
      <c r="AJ39" s="115"/>
      <c r="AK39" s="115">
        <f t="shared" si="28"/>
        <v>0</v>
      </c>
      <c r="AL39" s="115"/>
      <c r="AM39" s="115">
        <v>288</v>
      </c>
      <c r="AN39" s="115">
        <f t="shared" si="29"/>
        <v>288</v>
      </c>
      <c r="AO39" s="115">
        <f t="shared" si="30"/>
        <v>656</v>
      </c>
      <c r="AP39" s="105"/>
      <c r="AQ39" s="105"/>
      <c r="AR39" s="116">
        <f t="shared" si="12"/>
        <v>0</v>
      </c>
      <c r="AS39" s="116"/>
      <c r="AT39" s="116"/>
      <c r="AU39" s="116">
        <f t="shared" si="31"/>
        <v>0</v>
      </c>
      <c r="AV39" s="105"/>
      <c r="AW39" s="116">
        <f t="shared" si="32"/>
        <v>0</v>
      </c>
      <c r="AX39" s="116"/>
      <c r="AY39" s="116"/>
      <c r="AZ39" s="116">
        <f t="shared" si="33"/>
        <v>0</v>
      </c>
      <c r="BA39" s="116">
        <f t="shared" si="34"/>
        <v>0</v>
      </c>
      <c r="BB39" s="105"/>
      <c r="BC39" s="119" t="s">
        <v>106</v>
      </c>
      <c r="BD39" s="123"/>
    </row>
    <row r="40" spans="1:60" s="124" customFormat="1" ht="15.75" x14ac:dyDescent="0.25">
      <c r="A40" s="99" t="s">
        <v>59</v>
      </c>
      <c r="C40" s="124">
        <v>19</v>
      </c>
      <c r="D40" s="125">
        <v>11206.364352336535</v>
      </c>
      <c r="E40" s="125">
        <v>8050.1356476634619</v>
      </c>
      <c r="F40" s="125">
        <v>19256.5</v>
      </c>
      <c r="G40" s="126"/>
      <c r="H40" s="127"/>
      <c r="I40" s="104">
        <f>SUM(I41:I59)</f>
        <v>1175</v>
      </c>
      <c r="J40" s="127"/>
      <c r="K40" s="104">
        <f>SUM(K41:K59)</f>
        <v>680</v>
      </c>
      <c r="L40" s="104"/>
      <c r="M40" s="179"/>
      <c r="N40" s="179"/>
      <c r="O40" s="179"/>
      <c r="P40" s="104">
        <f>SUM(P41:P59)</f>
        <v>33</v>
      </c>
      <c r="Q40" s="104"/>
      <c r="R40" s="104"/>
      <c r="S40" s="104"/>
      <c r="T40" s="104">
        <f>SUM(T41:T59)</f>
        <v>593.27</v>
      </c>
      <c r="U40" s="104"/>
      <c r="V40" s="104">
        <f>SUM(V41:V59)</f>
        <v>0</v>
      </c>
      <c r="W40" s="104">
        <f>SUM(W41:W59)</f>
        <v>593.27</v>
      </c>
      <c r="X40" s="104"/>
      <c r="Y40" s="104">
        <f>SUM(Y41:Y59)</f>
        <v>0</v>
      </c>
      <c r="Z40" s="104"/>
      <c r="AA40" s="104">
        <f>SUM(AA41:AA59)</f>
        <v>430</v>
      </c>
      <c r="AB40" s="104">
        <f>SUM(AB41:AB59)</f>
        <v>430</v>
      </c>
      <c r="AC40" s="104">
        <f>SUM(AC41:AC59)</f>
        <v>1023.27</v>
      </c>
      <c r="AD40" s="105"/>
      <c r="AE40" s="104"/>
      <c r="AF40" s="104">
        <f>SUM(AF41:AF59)</f>
        <v>0</v>
      </c>
      <c r="AG40" s="104"/>
      <c r="AH40" s="104">
        <f>SUM(AH41:AH59)</f>
        <v>0</v>
      </c>
      <c r="AI40" s="104">
        <f>SUM(AI41:AI59)</f>
        <v>0</v>
      </c>
      <c r="AJ40" s="104"/>
      <c r="AK40" s="104">
        <f>SUM(AK41:AK59)</f>
        <v>0</v>
      </c>
      <c r="AL40" s="104"/>
      <c r="AM40" s="104">
        <f>SUM(AM41:AM59)</f>
        <v>0</v>
      </c>
      <c r="AN40" s="104">
        <f>SUM(AN41:AN59)</f>
        <v>0</v>
      </c>
      <c r="AO40" s="104">
        <f>SUM(AO41:AO59)</f>
        <v>0</v>
      </c>
      <c r="AP40" s="104"/>
      <c r="AQ40" s="104"/>
      <c r="AR40" s="104">
        <f>SUM(AR41:AR59)</f>
        <v>710.77666666666664</v>
      </c>
      <c r="AS40" s="104"/>
      <c r="AT40" s="104">
        <f>SUM(AT41:AT59)</f>
        <v>3</v>
      </c>
      <c r="AU40" s="104">
        <f>SUM(AU41:AU59)</f>
        <v>713.77666666666664</v>
      </c>
      <c r="AV40" s="104"/>
      <c r="AW40" s="104">
        <f>SUM(AW41:AW59)</f>
        <v>0</v>
      </c>
      <c r="AX40" s="104"/>
      <c r="AY40" s="104">
        <f>SUM(AY41:AY59)</f>
        <v>0</v>
      </c>
      <c r="AZ40" s="104">
        <f>SUM(AZ41:AZ59)</f>
        <v>0</v>
      </c>
      <c r="BA40" s="104">
        <f>SUM(BA41:BA59)</f>
        <v>713.77666666666664</v>
      </c>
      <c r="BB40" s="104"/>
      <c r="BC40" s="104"/>
      <c r="BD40" s="104"/>
    </row>
    <row r="41" spans="1:60" x14ac:dyDescent="0.2">
      <c r="A41" s="59" t="s">
        <v>107</v>
      </c>
      <c r="B41" s="68">
        <v>1</v>
      </c>
      <c r="C41" s="59" t="s">
        <v>60</v>
      </c>
      <c r="D41" s="71">
        <v>1436.3619491767392</v>
      </c>
      <c r="E41" s="71">
        <v>764.63805082326076</v>
      </c>
      <c r="F41" s="71">
        <v>2201</v>
      </c>
      <c r="G41" s="111">
        <f t="shared" ref="G41:G59" si="35">F41/47378</f>
        <v>4.6456161087424543E-2</v>
      </c>
      <c r="H41" s="58">
        <f t="shared" ref="H41:H59" si="36">G41*2892</f>
        <v>134.35121786483177</v>
      </c>
      <c r="I41" s="112">
        <v>134</v>
      </c>
      <c r="J41" s="58">
        <f t="shared" ref="J41:J59" si="37">G41*1670</f>
        <v>77.581789015998993</v>
      </c>
      <c r="K41" s="112">
        <v>78</v>
      </c>
      <c r="L41" s="105" t="s">
        <v>88</v>
      </c>
      <c r="M41" s="161" t="s">
        <v>129</v>
      </c>
      <c r="Q41" s="105"/>
      <c r="R41" s="105"/>
      <c r="S41" s="113">
        <f>920+1800+400+680+680+880</f>
        <v>5360</v>
      </c>
      <c r="T41" s="114">
        <f t="shared" si="16"/>
        <v>134</v>
      </c>
      <c r="U41" s="114">
        <f>920+1800+400+680+680+880</f>
        <v>5360</v>
      </c>
      <c r="V41" s="114"/>
      <c r="W41" s="114">
        <f t="shared" si="6"/>
        <v>134</v>
      </c>
      <c r="X41" s="114"/>
      <c r="Y41" s="114">
        <f t="shared" ref="Y41:Y56" si="38">X41/40</f>
        <v>0</v>
      </c>
      <c r="Z41" s="114">
        <f>920+1800+400+680+680+880</f>
        <v>5360</v>
      </c>
      <c r="AA41" s="114">
        <v>50</v>
      </c>
      <c r="AB41" s="114">
        <f t="shared" ref="AB41:AB59" si="39">Y41+AA41</f>
        <v>50</v>
      </c>
      <c r="AC41" s="114">
        <f t="shared" si="8"/>
        <v>184</v>
      </c>
      <c r="AD41" s="105"/>
      <c r="AE41" s="113"/>
      <c r="AF41" s="115">
        <f t="shared" ref="AF41:AF56" si="40">AE41/40</f>
        <v>0</v>
      </c>
      <c r="AG41" s="115">
        <f>920+1800+400+680+680+880</f>
        <v>5360</v>
      </c>
      <c r="AH41" s="115"/>
      <c r="AI41" s="115">
        <f t="shared" ref="AI41:AI59" si="41">AF41+AH41</f>
        <v>0</v>
      </c>
      <c r="AJ41" s="115"/>
      <c r="AK41" s="115">
        <f t="shared" ref="AK41:AK56" si="42">AJ41/40</f>
        <v>0</v>
      </c>
      <c r="AL41" s="115">
        <f>920+1800+400+680+680+880</f>
        <v>5360</v>
      </c>
      <c r="AM41" s="115"/>
      <c r="AN41" s="115">
        <f t="shared" ref="AN41:AN59" si="43">AK41+AM41</f>
        <v>0</v>
      </c>
      <c r="AO41" s="115">
        <f t="shared" ref="AO41:AO59" si="44">AN41+AI41</f>
        <v>0</v>
      </c>
      <c r="AP41" s="105"/>
      <c r="AQ41" s="105">
        <f>675+360+900+630+225+270+135+315</f>
        <v>3510</v>
      </c>
      <c r="AR41" s="116">
        <f t="shared" si="12"/>
        <v>234</v>
      </c>
      <c r="AS41" s="116"/>
      <c r="AT41" s="116"/>
      <c r="AU41" s="116">
        <f t="shared" ref="AU41:AU59" si="45">AR41+AT41</f>
        <v>234</v>
      </c>
      <c r="AV41" s="105"/>
      <c r="AW41" s="116">
        <f t="shared" ref="AW41:AW56" si="46">AV41/40</f>
        <v>0</v>
      </c>
      <c r="AX41" s="116"/>
      <c r="AY41" s="116"/>
      <c r="AZ41" s="116">
        <f t="shared" ref="AZ41:AZ59" si="47">AW41+AY41</f>
        <v>0</v>
      </c>
      <c r="BA41" s="116">
        <f t="shared" ref="BA41:BA59" si="48">AZ41+AU41</f>
        <v>234</v>
      </c>
      <c r="BB41" s="105"/>
      <c r="BC41" s="119" t="s">
        <v>101</v>
      </c>
      <c r="BD41" s="123"/>
    </row>
    <row r="42" spans="1:60" x14ac:dyDescent="0.2">
      <c r="B42" s="68">
        <v>2</v>
      </c>
      <c r="C42" s="59" t="s">
        <v>61</v>
      </c>
      <c r="D42" s="71">
        <v>21.929190063767013</v>
      </c>
      <c r="E42" s="71">
        <v>61.07080993623299</v>
      </c>
      <c r="F42" s="71">
        <v>83</v>
      </c>
      <c r="G42" s="111">
        <f t="shared" si="35"/>
        <v>1.7518679555912026E-3</v>
      </c>
      <c r="H42" s="58">
        <f t="shared" si="36"/>
        <v>5.0664021275697575</v>
      </c>
      <c r="I42" s="112">
        <v>5</v>
      </c>
      <c r="J42" s="58">
        <f t="shared" si="37"/>
        <v>2.9256194858373084</v>
      </c>
      <c r="K42" s="112">
        <v>3</v>
      </c>
      <c r="L42" s="105"/>
      <c r="Q42" s="105"/>
      <c r="R42" s="105"/>
      <c r="S42" s="113"/>
      <c r="T42" s="114">
        <f t="shared" si="16"/>
        <v>0</v>
      </c>
      <c r="U42" s="114"/>
      <c r="V42" s="114"/>
      <c r="W42" s="114">
        <f t="shared" si="6"/>
        <v>0</v>
      </c>
      <c r="X42" s="114"/>
      <c r="Y42" s="114">
        <f t="shared" si="38"/>
        <v>0</v>
      </c>
      <c r="Z42" s="114"/>
      <c r="AA42" s="114"/>
      <c r="AB42" s="114">
        <f t="shared" si="39"/>
        <v>0</v>
      </c>
      <c r="AC42" s="114">
        <f t="shared" si="8"/>
        <v>0</v>
      </c>
      <c r="AD42" s="105"/>
      <c r="AE42" s="113"/>
      <c r="AF42" s="115">
        <f t="shared" si="40"/>
        <v>0</v>
      </c>
      <c r="AG42" s="115"/>
      <c r="AH42" s="115"/>
      <c r="AI42" s="115">
        <f t="shared" si="41"/>
        <v>0</v>
      </c>
      <c r="AJ42" s="115"/>
      <c r="AK42" s="115">
        <f t="shared" si="42"/>
        <v>0</v>
      </c>
      <c r="AL42" s="115"/>
      <c r="AM42" s="115"/>
      <c r="AN42" s="115">
        <f t="shared" si="43"/>
        <v>0</v>
      </c>
      <c r="AO42" s="115">
        <f t="shared" si="44"/>
        <v>0</v>
      </c>
      <c r="AP42" s="105"/>
      <c r="AQ42" s="105"/>
      <c r="AR42" s="116">
        <f t="shared" si="12"/>
        <v>0</v>
      </c>
      <c r="AS42" s="116"/>
      <c r="AT42" s="116"/>
      <c r="AU42" s="116">
        <f t="shared" si="45"/>
        <v>0</v>
      </c>
      <c r="AV42" s="105"/>
      <c r="AW42" s="116">
        <f t="shared" si="46"/>
        <v>0</v>
      </c>
      <c r="AX42" s="116"/>
      <c r="AY42" s="116"/>
      <c r="AZ42" s="116">
        <f t="shared" si="47"/>
        <v>0</v>
      </c>
      <c r="BA42" s="116">
        <f t="shared" si="48"/>
        <v>0</v>
      </c>
      <c r="BB42" s="105"/>
      <c r="BC42" s="119"/>
      <c r="BD42" s="123"/>
    </row>
    <row r="43" spans="1:60" x14ac:dyDescent="0.2">
      <c r="B43" s="68">
        <v>3</v>
      </c>
      <c r="C43" s="59" t="s">
        <v>62</v>
      </c>
      <c r="D43" s="71">
        <v>165.56538498144096</v>
      </c>
      <c r="E43" s="71">
        <v>813.43461501855904</v>
      </c>
      <c r="F43" s="71">
        <v>979</v>
      </c>
      <c r="G43" s="111">
        <f t="shared" si="35"/>
        <v>2.0663599138840812E-2</v>
      </c>
      <c r="H43" s="58">
        <f t="shared" si="36"/>
        <v>59.75912870952763</v>
      </c>
      <c r="I43" s="112">
        <v>60</v>
      </c>
      <c r="J43" s="58">
        <f t="shared" si="37"/>
        <v>34.508210561864153</v>
      </c>
      <c r="K43" s="112">
        <v>35</v>
      </c>
      <c r="L43" s="105"/>
      <c r="Q43" s="105"/>
      <c r="R43" s="105"/>
      <c r="S43" s="113"/>
      <c r="T43" s="114">
        <f t="shared" si="16"/>
        <v>0</v>
      </c>
      <c r="U43" s="114"/>
      <c r="V43" s="114"/>
      <c r="W43" s="114">
        <f t="shared" si="6"/>
        <v>0</v>
      </c>
      <c r="X43" s="114"/>
      <c r="Y43" s="114">
        <f t="shared" si="38"/>
        <v>0</v>
      </c>
      <c r="Z43" s="114"/>
      <c r="AA43" s="114"/>
      <c r="AB43" s="114">
        <f t="shared" si="39"/>
        <v>0</v>
      </c>
      <c r="AC43" s="114">
        <f t="shared" si="8"/>
        <v>0</v>
      </c>
      <c r="AD43" s="105"/>
      <c r="AE43" s="113"/>
      <c r="AF43" s="115">
        <f t="shared" si="40"/>
        <v>0</v>
      </c>
      <c r="AG43" s="115"/>
      <c r="AH43" s="115"/>
      <c r="AI43" s="115">
        <f t="shared" si="41"/>
        <v>0</v>
      </c>
      <c r="AJ43" s="115"/>
      <c r="AK43" s="115">
        <f t="shared" si="42"/>
        <v>0</v>
      </c>
      <c r="AL43" s="115"/>
      <c r="AM43" s="115"/>
      <c r="AN43" s="115">
        <f t="shared" si="43"/>
        <v>0</v>
      </c>
      <c r="AO43" s="115">
        <f t="shared" si="44"/>
        <v>0</v>
      </c>
      <c r="AP43" s="105"/>
      <c r="AQ43" s="105">
        <f>11.55+21.75+38.5</f>
        <v>71.8</v>
      </c>
      <c r="AR43" s="116">
        <f t="shared" si="12"/>
        <v>4.7866666666666662</v>
      </c>
      <c r="AS43" s="116"/>
      <c r="AT43" s="116"/>
      <c r="AU43" s="116">
        <f t="shared" si="45"/>
        <v>4.7866666666666662</v>
      </c>
      <c r="AV43" s="105"/>
      <c r="AW43" s="116">
        <f t="shared" si="46"/>
        <v>0</v>
      </c>
      <c r="AX43" s="116"/>
      <c r="AY43" s="116"/>
      <c r="AZ43" s="116">
        <f t="shared" si="47"/>
        <v>0</v>
      </c>
      <c r="BA43" s="116">
        <f t="shared" si="48"/>
        <v>4.7866666666666662</v>
      </c>
      <c r="BB43" s="105"/>
      <c r="BC43" s="119"/>
      <c r="BD43" s="123"/>
    </row>
    <row r="44" spans="1:60" s="132" customFormat="1" x14ac:dyDescent="0.2">
      <c r="A44" s="59"/>
      <c r="B44" s="68">
        <v>4</v>
      </c>
      <c r="C44" s="59" t="s">
        <v>63</v>
      </c>
      <c r="D44" s="71">
        <v>811.92826211097361</v>
      </c>
      <c r="E44" s="71">
        <v>109.57173788902639</v>
      </c>
      <c r="F44" s="71">
        <v>921.5</v>
      </c>
      <c r="G44" s="111">
        <f t="shared" si="35"/>
        <v>1.9449955675630039E-2</v>
      </c>
      <c r="H44" s="58">
        <f t="shared" si="36"/>
        <v>56.249271813922071</v>
      </c>
      <c r="I44" s="112">
        <v>56</v>
      </c>
      <c r="J44" s="58">
        <f t="shared" si="37"/>
        <v>32.481425978302163</v>
      </c>
      <c r="K44" s="112">
        <v>32</v>
      </c>
      <c r="L44" s="105"/>
      <c r="M44" s="161"/>
      <c r="N44" s="161"/>
      <c r="O44" s="161"/>
      <c r="P44" s="105"/>
      <c r="Q44" s="105"/>
      <c r="R44" s="105"/>
      <c r="S44" s="113"/>
      <c r="T44" s="114">
        <f t="shared" si="16"/>
        <v>0</v>
      </c>
      <c r="U44" s="114"/>
      <c r="V44" s="114"/>
      <c r="W44" s="114">
        <f t="shared" si="6"/>
        <v>0</v>
      </c>
      <c r="X44" s="114"/>
      <c r="Y44" s="114">
        <f t="shared" si="38"/>
        <v>0</v>
      </c>
      <c r="Z44" s="114"/>
      <c r="AA44" s="114"/>
      <c r="AB44" s="114">
        <f t="shared" si="39"/>
        <v>0</v>
      </c>
      <c r="AC44" s="114">
        <f t="shared" si="8"/>
        <v>0</v>
      </c>
      <c r="AD44" s="105"/>
      <c r="AE44" s="113"/>
      <c r="AF44" s="115">
        <f t="shared" si="40"/>
        <v>0</v>
      </c>
      <c r="AG44" s="115"/>
      <c r="AH44" s="115"/>
      <c r="AI44" s="115">
        <f t="shared" si="41"/>
        <v>0</v>
      </c>
      <c r="AJ44" s="115"/>
      <c r="AK44" s="115">
        <f t="shared" si="42"/>
        <v>0</v>
      </c>
      <c r="AL44" s="115"/>
      <c r="AM44" s="115"/>
      <c r="AN44" s="115">
        <f t="shared" si="43"/>
        <v>0</v>
      </c>
      <c r="AO44" s="115">
        <f t="shared" si="44"/>
        <v>0</v>
      </c>
      <c r="AP44" s="105"/>
      <c r="AQ44" s="105"/>
      <c r="AR44" s="116">
        <f t="shared" si="12"/>
        <v>0</v>
      </c>
      <c r="AS44" s="116"/>
      <c r="AT44" s="116"/>
      <c r="AU44" s="116">
        <f t="shared" si="45"/>
        <v>0</v>
      </c>
      <c r="AV44" s="105"/>
      <c r="AW44" s="116">
        <f t="shared" si="46"/>
        <v>0</v>
      </c>
      <c r="AX44" s="116"/>
      <c r="AY44" s="116"/>
      <c r="AZ44" s="116">
        <f t="shared" si="47"/>
        <v>0</v>
      </c>
      <c r="BA44" s="116">
        <f t="shared" si="48"/>
        <v>0</v>
      </c>
      <c r="BB44" s="105"/>
      <c r="BC44" s="119"/>
      <c r="BD44" s="123"/>
      <c r="BE44" s="59"/>
      <c r="BF44" s="59"/>
      <c r="BG44" s="59"/>
      <c r="BH44" s="59"/>
    </row>
    <row r="45" spans="1:60" s="132" customFormat="1" x14ac:dyDescent="0.2">
      <c r="A45" s="59"/>
      <c r="B45" s="68">
        <v>5</v>
      </c>
      <c r="C45" s="59" t="s">
        <v>64</v>
      </c>
      <c r="D45" s="71">
        <v>1485.7026268202151</v>
      </c>
      <c r="E45" s="71">
        <v>181.29737317978493</v>
      </c>
      <c r="F45" s="71">
        <v>1667</v>
      </c>
      <c r="G45" s="111">
        <f t="shared" si="35"/>
        <v>3.5185107011693188E-2</v>
      </c>
      <c r="H45" s="58">
        <f t="shared" si="36"/>
        <v>101.7553294778167</v>
      </c>
      <c r="I45" s="112">
        <v>102</v>
      </c>
      <c r="J45" s="58">
        <f t="shared" si="37"/>
        <v>58.759128709527623</v>
      </c>
      <c r="K45" s="112">
        <v>59</v>
      </c>
      <c r="L45" s="105"/>
      <c r="M45" s="161"/>
      <c r="N45" s="161"/>
      <c r="O45" s="161"/>
      <c r="P45" s="105"/>
      <c r="Q45" s="105"/>
      <c r="R45" s="105"/>
      <c r="S45" s="113"/>
      <c r="T45" s="114">
        <f t="shared" si="16"/>
        <v>0</v>
      </c>
      <c r="U45" s="114"/>
      <c r="V45" s="114"/>
      <c r="W45" s="114">
        <f t="shared" si="6"/>
        <v>0</v>
      </c>
      <c r="X45" s="114"/>
      <c r="Y45" s="114">
        <f t="shared" si="38"/>
        <v>0</v>
      </c>
      <c r="Z45" s="114"/>
      <c r="AA45" s="114"/>
      <c r="AB45" s="114">
        <f t="shared" si="39"/>
        <v>0</v>
      </c>
      <c r="AC45" s="114">
        <f t="shared" si="8"/>
        <v>0</v>
      </c>
      <c r="AD45" s="105"/>
      <c r="AE45" s="113"/>
      <c r="AF45" s="115">
        <f t="shared" si="40"/>
        <v>0</v>
      </c>
      <c r="AG45" s="115"/>
      <c r="AH45" s="115"/>
      <c r="AI45" s="115">
        <f t="shared" si="41"/>
        <v>0</v>
      </c>
      <c r="AJ45" s="115"/>
      <c r="AK45" s="115">
        <f t="shared" si="42"/>
        <v>0</v>
      </c>
      <c r="AL45" s="115"/>
      <c r="AM45" s="115"/>
      <c r="AN45" s="115">
        <f t="shared" si="43"/>
        <v>0</v>
      </c>
      <c r="AO45" s="115">
        <f t="shared" si="44"/>
        <v>0</v>
      </c>
      <c r="AP45" s="105"/>
      <c r="AQ45" s="105"/>
      <c r="AR45" s="116">
        <f t="shared" si="12"/>
        <v>0</v>
      </c>
      <c r="AS45" s="116"/>
      <c r="AT45" s="116"/>
      <c r="AU45" s="116">
        <f t="shared" si="45"/>
        <v>0</v>
      </c>
      <c r="AV45" s="105"/>
      <c r="AW45" s="116">
        <f t="shared" si="46"/>
        <v>0</v>
      </c>
      <c r="AX45" s="116"/>
      <c r="AY45" s="116"/>
      <c r="AZ45" s="116">
        <f t="shared" si="47"/>
        <v>0</v>
      </c>
      <c r="BA45" s="116">
        <f t="shared" si="48"/>
        <v>0</v>
      </c>
      <c r="BB45" s="105"/>
      <c r="BC45" s="119"/>
      <c r="BD45" s="123"/>
      <c r="BE45" s="59"/>
      <c r="BF45" s="59"/>
      <c r="BG45" s="59"/>
      <c r="BH45" s="59"/>
    </row>
    <row r="46" spans="1:60" s="132" customFormat="1" x14ac:dyDescent="0.2">
      <c r="A46" s="59"/>
      <c r="B46" s="68">
        <v>6</v>
      </c>
      <c r="C46" s="59" t="s">
        <v>65</v>
      </c>
      <c r="D46" s="71">
        <v>803.70481583706101</v>
      </c>
      <c r="E46" s="71">
        <v>2082.2951841629392</v>
      </c>
      <c r="F46" s="71">
        <v>2886</v>
      </c>
      <c r="G46" s="111">
        <f t="shared" si="35"/>
        <v>6.0914348431761578E-2</v>
      </c>
      <c r="H46" s="58">
        <f t="shared" si="36"/>
        <v>176.16429566465447</v>
      </c>
      <c r="I46" s="112">
        <v>175</v>
      </c>
      <c r="J46" s="58">
        <f t="shared" si="37"/>
        <v>101.72696188104183</v>
      </c>
      <c r="K46" s="112">
        <v>102</v>
      </c>
      <c r="L46" s="105"/>
      <c r="M46" s="161"/>
      <c r="N46" s="161"/>
      <c r="O46" s="161"/>
      <c r="P46" s="105"/>
      <c r="Q46" s="105"/>
      <c r="R46" s="105"/>
      <c r="S46" s="113"/>
      <c r="T46" s="114">
        <f t="shared" si="16"/>
        <v>0</v>
      </c>
      <c r="U46" s="114"/>
      <c r="V46" s="114"/>
      <c r="W46" s="114">
        <f t="shared" si="6"/>
        <v>0</v>
      </c>
      <c r="X46" s="114"/>
      <c r="Y46" s="114">
        <f t="shared" si="38"/>
        <v>0</v>
      </c>
      <c r="Z46" s="114"/>
      <c r="AA46" s="114"/>
      <c r="AB46" s="114">
        <f t="shared" si="39"/>
        <v>0</v>
      </c>
      <c r="AC46" s="114">
        <f t="shared" si="8"/>
        <v>0</v>
      </c>
      <c r="AD46" s="105"/>
      <c r="AE46" s="113"/>
      <c r="AF46" s="115">
        <f t="shared" si="40"/>
        <v>0</v>
      </c>
      <c r="AG46" s="115"/>
      <c r="AH46" s="115"/>
      <c r="AI46" s="115">
        <f t="shared" si="41"/>
        <v>0</v>
      </c>
      <c r="AJ46" s="115"/>
      <c r="AK46" s="115">
        <f t="shared" si="42"/>
        <v>0</v>
      </c>
      <c r="AL46" s="115"/>
      <c r="AM46" s="115"/>
      <c r="AN46" s="115">
        <f t="shared" si="43"/>
        <v>0</v>
      </c>
      <c r="AO46" s="115">
        <f t="shared" si="44"/>
        <v>0</v>
      </c>
      <c r="AP46" s="105"/>
      <c r="AQ46" s="105"/>
      <c r="AR46" s="116">
        <f t="shared" si="12"/>
        <v>0</v>
      </c>
      <c r="AS46" s="116"/>
      <c r="AT46" s="116"/>
      <c r="AU46" s="116">
        <f t="shared" si="45"/>
        <v>0</v>
      </c>
      <c r="AV46" s="105"/>
      <c r="AW46" s="116">
        <f t="shared" si="46"/>
        <v>0</v>
      </c>
      <c r="AX46" s="116"/>
      <c r="AY46" s="116"/>
      <c r="AZ46" s="116">
        <f t="shared" si="47"/>
        <v>0</v>
      </c>
      <c r="BA46" s="116">
        <f t="shared" si="48"/>
        <v>0</v>
      </c>
      <c r="BB46" s="105"/>
      <c r="BC46" s="119"/>
      <c r="BD46" s="123"/>
      <c r="BE46" s="59"/>
      <c r="BF46" s="59"/>
      <c r="BG46" s="59"/>
      <c r="BH46" s="59"/>
    </row>
    <row r="47" spans="1:60" s="132" customFormat="1" x14ac:dyDescent="0.2">
      <c r="A47" s="59"/>
      <c r="B47" s="68">
        <v>7</v>
      </c>
      <c r="C47" s="59" t="s">
        <v>66</v>
      </c>
      <c r="D47" s="71">
        <v>200.65208908346816</v>
      </c>
      <c r="E47" s="71">
        <v>126.34791091653184</v>
      </c>
      <c r="F47" s="71">
        <v>327</v>
      </c>
      <c r="G47" s="111">
        <f t="shared" si="35"/>
        <v>6.9019376081725699E-3</v>
      </c>
      <c r="H47" s="58">
        <f t="shared" si="36"/>
        <v>19.960403562835072</v>
      </c>
      <c r="I47" s="112">
        <v>20</v>
      </c>
      <c r="J47" s="58">
        <f t="shared" si="37"/>
        <v>11.526235805648192</v>
      </c>
      <c r="K47" s="112">
        <v>12</v>
      </c>
      <c r="L47" s="105" t="s">
        <v>85</v>
      </c>
      <c r="M47" s="161" t="s">
        <v>88</v>
      </c>
      <c r="N47" s="161"/>
      <c r="O47" s="161"/>
      <c r="P47" s="105"/>
      <c r="Q47" s="105"/>
      <c r="R47" s="105"/>
      <c r="S47" s="113">
        <v>800</v>
      </c>
      <c r="T47" s="114">
        <f t="shared" si="16"/>
        <v>20</v>
      </c>
      <c r="U47" s="114">
        <v>800</v>
      </c>
      <c r="V47" s="114"/>
      <c r="W47" s="114">
        <f t="shared" si="6"/>
        <v>20</v>
      </c>
      <c r="X47" s="114"/>
      <c r="Y47" s="114">
        <f t="shared" si="38"/>
        <v>0</v>
      </c>
      <c r="Z47" s="114">
        <v>800</v>
      </c>
      <c r="AA47" s="114"/>
      <c r="AB47" s="114">
        <f t="shared" si="39"/>
        <v>0</v>
      </c>
      <c r="AC47" s="114">
        <f t="shared" si="8"/>
        <v>20</v>
      </c>
      <c r="AD47" s="105"/>
      <c r="AE47" s="113"/>
      <c r="AF47" s="115">
        <f t="shared" si="40"/>
        <v>0</v>
      </c>
      <c r="AG47" s="115">
        <v>800</v>
      </c>
      <c r="AH47" s="115"/>
      <c r="AI47" s="115">
        <f t="shared" si="41"/>
        <v>0</v>
      </c>
      <c r="AJ47" s="115"/>
      <c r="AK47" s="115">
        <f t="shared" si="42"/>
        <v>0</v>
      </c>
      <c r="AL47" s="115">
        <v>800</v>
      </c>
      <c r="AM47" s="115"/>
      <c r="AN47" s="115">
        <f t="shared" si="43"/>
        <v>0</v>
      </c>
      <c r="AO47" s="115">
        <f t="shared" si="44"/>
        <v>0</v>
      </c>
      <c r="AP47" s="105"/>
      <c r="AQ47" s="105">
        <v>180</v>
      </c>
      <c r="AR47" s="116">
        <f t="shared" si="12"/>
        <v>12</v>
      </c>
      <c r="AS47" s="116"/>
      <c r="AT47" s="116"/>
      <c r="AU47" s="116">
        <f t="shared" si="45"/>
        <v>12</v>
      </c>
      <c r="AV47" s="105"/>
      <c r="AW47" s="116">
        <f t="shared" si="46"/>
        <v>0</v>
      </c>
      <c r="AX47" s="116"/>
      <c r="AY47" s="116"/>
      <c r="AZ47" s="116">
        <f t="shared" si="47"/>
        <v>0</v>
      </c>
      <c r="BA47" s="116">
        <f t="shared" si="48"/>
        <v>12</v>
      </c>
      <c r="BB47" s="105"/>
      <c r="BC47" s="119" t="s">
        <v>92</v>
      </c>
      <c r="BD47" s="123"/>
      <c r="BE47" s="59"/>
      <c r="BF47" s="59"/>
      <c r="BG47" s="59"/>
      <c r="BH47" s="59"/>
    </row>
    <row r="48" spans="1:60" s="132" customFormat="1" x14ac:dyDescent="0.2">
      <c r="A48" s="59"/>
      <c r="B48" s="68">
        <v>8</v>
      </c>
      <c r="C48" s="59" t="s">
        <v>67</v>
      </c>
      <c r="D48" s="71">
        <v>581.12353668982587</v>
      </c>
      <c r="E48" s="71">
        <v>198.87646331017413</v>
      </c>
      <c r="F48" s="71">
        <v>780</v>
      </c>
      <c r="G48" s="111">
        <f t="shared" si="35"/>
        <v>1.6463337413989615E-2</v>
      </c>
      <c r="H48" s="58">
        <f t="shared" si="36"/>
        <v>47.611971801257965</v>
      </c>
      <c r="I48" s="112">
        <v>48</v>
      </c>
      <c r="J48" s="58">
        <f t="shared" si="37"/>
        <v>27.493773481362656</v>
      </c>
      <c r="K48" s="112">
        <v>27</v>
      </c>
      <c r="L48" s="105"/>
      <c r="M48" s="161" t="s">
        <v>122</v>
      </c>
      <c r="N48" s="161"/>
      <c r="O48" s="161"/>
      <c r="P48" s="105"/>
      <c r="Q48" s="105"/>
      <c r="R48" s="105"/>
      <c r="S48" s="113">
        <f>640+218+120+150+120+220+300+120+480</f>
        <v>2368</v>
      </c>
      <c r="T48" s="114">
        <f t="shared" si="16"/>
        <v>59.2</v>
      </c>
      <c r="U48" s="114">
        <f>640+218+120+150+120+220+300+120+480</f>
        <v>2368</v>
      </c>
      <c r="V48" s="114"/>
      <c r="W48" s="114">
        <f t="shared" si="6"/>
        <v>59.2</v>
      </c>
      <c r="X48" s="114"/>
      <c r="Y48" s="114">
        <f t="shared" si="38"/>
        <v>0</v>
      </c>
      <c r="Z48" s="114">
        <f>640+218+120+150+120+220+300+120+480</f>
        <v>2368</v>
      </c>
      <c r="AA48" s="114"/>
      <c r="AB48" s="114">
        <f t="shared" si="39"/>
        <v>0</v>
      </c>
      <c r="AC48" s="114">
        <f t="shared" si="8"/>
        <v>59.2</v>
      </c>
      <c r="AD48" s="105"/>
      <c r="AE48" s="113"/>
      <c r="AF48" s="115">
        <f t="shared" si="40"/>
        <v>0</v>
      </c>
      <c r="AG48" s="115">
        <f>640+218+120+150+120+220+300+120+480</f>
        <v>2368</v>
      </c>
      <c r="AH48" s="115"/>
      <c r="AI48" s="115">
        <f t="shared" si="41"/>
        <v>0</v>
      </c>
      <c r="AJ48" s="115"/>
      <c r="AK48" s="115">
        <f t="shared" si="42"/>
        <v>0</v>
      </c>
      <c r="AL48" s="115">
        <f>640+218+120+150+120+220+300+120+480</f>
        <v>2368</v>
      </c>
      <c r="AM48" s="115"/>
      <c r="AN48" s="115">
        <f t="shared" si="43"/>
        <v>0</v>
      </c>
      <c r="AO48" s="115">
        <f t="shared" si="44"/>
        <v>0</v>
      </c>
      <c r="AP48" s="105"/>
      <c r="AQ48" s="105"/>
      <c r="AR48" s="116">
        <f t="shared" si="12"/>
        <v>0</v>
      </c>
      <c r="AS48" s="116"/>
      <c r="AT48" s="116"/>
      <c r="AU48" s="116">
        <f t="shared" si="45"/>
        <v>0</v>
      </c>
      <c r="AV48" s="105"/>
      <c r="AW48" s="116">
        <f t="shared" si="46"/>
        <v>0</v>
      </c>
      <c r="AX48" s="116"/>
      <c r="AY48" s="116"/>
      <c r="AZ48" s="116">
        <f t="shared" si="47"/>
        <v>0</v>
      </c>
      <c r="BA48" s="116">
        <f t="shared" si="48"/>
        <v>0</v>
      </c>
      <c r="BB48" s="105"/>
      <c r="BC48" s="119" t="s">
        <v>105</v>
      </c>
      <c r="BD48" s="123"/>
      <c r="BE48" s="59"/>
      <c r="BF48" s="59"/>
      <c r="BG48" s="59"/>
      <c r="BH48" s="59"/>
    </row>
    <row r="49" spans="1:60" s="132" customFormat="1" x14ac:dyDescent="0.2">
      <c r="A49" s="59"/>
      <c r="B49" s="68">
        <v>9</v>
      </c>
      <c r="C49" s="59" t="s">
        <v>68</v>
      </c>
      <c r="D49" s="71">
        <v>578.38238793185496</v>
      </c>
      <c r="E49" s="71">
        <v>113.11761206814504</v>
      </c>
      <c r="F49" s="71">
        <v>691.5</v>
      </c>
      <c r="G49" s="111">
        <f t="shared" si="35"/>
        <v>1.4595381822786947E-2</v>
      </c>
      <c r="H49" s="58">
        <f t="shared" si="36"/>
        <v>42.209844231499851</v>
      </c>
      <c r="I49" s="112">
        <v>42</v>
      </c>
      <c r="J49" s="58">
        <f t="shared" si="37"/>
        <v>24.374287644054203</v>
      </c>
      <c r="K49" s="112">
        <v>24</v>
      </c>
      <c r="L49" s="105" t="s">
        <v>85</v>
      </c>
      <c r="M49" s="161" t="s">
        <v>88</v>
      </c>
      <c r="N49" s="161"/>
      <c r="O49" s="161" t="s">
        <v>122</v>
      </c>
      <c r="P49" s="105">
        <v>33</v>
      </c>
      <c r="Q49" s="105"/>
      <c r="R49" s="105"/>
      <c r="S49" s="113">
        <f>480+280+280+280</f>
        <v>1320</v>
      </c>
      <c r="T49" s="114">
        <f t="shared" si="16"/>
        <v>33</v>
      </c>
      <c r="U49" s="114">
        <f>480+280+280+280</f>
        <v>1320</v>
      </c>
      <c r="V49" s="114"/>
      <c r="W49" s="114">
        <f t="shared" si="6"/>
        <v>33</v>
      </c>
      <c r="X49" s="114"/>
      <c r="Y49" s="114">
        <f t="shared" si="38"/>
        <v>0</v>
      </c>
      <c r="Z49" s="114">
        <f>480+280+280+280</f>
        <v>1320</v>
      </c>
      <c r="AA49" s="114"/>
      <c r="AB49" s="114">
        <f t="shared" si="39"/>
        <v>0</v>
      </c>
      <c r="AC49" s="114">
        <f t="shared" si="8"/>
        <v>33</v>
      </c>
      <c r="AD49" s="105"/>
      <c r="AE49" s="113"/>
      <c r="AF49" s="115">
        <f t="shared" si="40"/>
        <v>0</v>
      </c>
      <c r="AG49" s="115">
        <f>480+280+280+280</f>
        <v>1320</v>
      </c>
      <c r="AH49" s="115"/>
      <c r="AI49" s="115">
        <f t="shared" si="41"/>
        <v>0</v>
      </c>
      <c r="AJ49" s="115"/>
      <c r="AK49" s="115">
        <f t="shared" si="42"/>
        <v>0</v>
      </c>
      <c r="AL49" s="115">
        <f>480+280+280+280</f>
        <v>1320</v>
      </c>
      <c r="AM49" s="115"/>
      <c r="AN49" s="115">
        <f t="shared" si="43"/>
        <v>0</v>
      </c>
      <c r="AO49" s="115">
        <f t="shared" si="44"/>
        <v>0</v>
      </c>
      <c r="AP49" s="105"/>
      <c r="AQ49" s="105">
        <f>120+60+60</f>
        <v>240</v>
      </c>
      <c r="AR49" s="116">
        <f t="shared" si="12"/>
        <v>16</v>
      </c>
      <c r="AS49" s="116"/>
      <c r="AT49" s="116"/>
      <c r="AU49" s="116">
        <f t="shared" si="45"/>
        <v>16</v>
      </c>
      <c r="AV49" s="105"/>
      <c r="AW49" s="116">
        <f t="shared" si="46"/>
        <v>0</v>
      </c>
      <c r="AX49" s="116"/>
      <c r="AY49" s="116"/>
      <c r="AZ49" s="116">
        <f t="shared" si="47"/>
        <v>0</v>
      </c>
      <c r="BA49" s="116">
        <f t="shared" si="48"/>
        <v>16</v>
      </c>
      <c r="BB49" s="105"/>
      <c r="BC49" s="119" t="s">
        <v>94</v>
      </c>
      <c r="BD49" s="123"/>
      <c r="BE49" s="59"/>
      <c r="BF49" s="59"/>
      <c r="BG49" s="59"/>
      <c r="BH49" s="59"/>
    </row>
    <row r="50" spans="1:60" s="133" customFormat="1" x14ac:dyDescent="0.2">
      <c r="A50" s="62"/>
      <c r="B50" s="70">
        <v>10</v>
      </c>
      <c r="C50" s="62" t="s">
        <v>69</v>
      </c>
      <c r="D50" s="128">
        <v>329.48608070809939</v>
      </c>
      <c r="E50" s="128">
        <v>525.01391929190061</v>
      </c>
      <c r="F50" s="128">
        <v>854.5</v>
      </c>
      <c r="G50" s="129">
        <f t="shared" si="35"/>
        <v>1.8035797205454007E-2</v>
      </c>
      <c r="H50" s="128">
        <f t="shared" si="36"/>
        <v>52.159525518172991</v>
      </c>
      <c r="I50" s="112">
        <v>52</v>
      </c>
      <c r="J50" s="130">
        <f t="shared" si="37"/>
        <v>30.119781333108193</v>
      </c>
      <c r="K50" s="112">
        <v>30</v>
      </c>
      <c r="L50" s="105" t="s">
        <v>83</v>
      </c>
      <c r="M50" s="161" t="s">
        <v>129</v>
      </c>
      <c r="N50" s="161"/>
      <c r="O50" s="161"/>
      <c r="P50" s="105"/>
      <c r="Q50" s="105"/>
      <c r="R50" s="105"/>
      <c r="S50" s="113">
        <f>40+400+60+262.8</f>
        <v>762.8</v>
      </c>
      <c r="T50" s="114">
        <f t="shared" si="16"/>
        <v>19.07</v>
      </c>
      <c r="U50" s="114"/>
      <c r="V50" s="114">
        <v>0</v>
      </c>
      <c r="W50" s="114">
        <f t="shared" si="6"/>
        <v>19.07</v>
      </c>
      <c r="X50" s="114"/>
      <c r="Y50" s="114">
        <f t="shared" si="38"/>
        <v>0</v>
      </c>
      <c r="Z50" s="114"/>
      <c r="AA50" s="114"/>
      <c r="AB50" s="114">
        <f t="shared" si="39"/>
        <v>0</v>
      </c>
      <c r="AC50" s="114">
        <f t="shared" si="8"/>
        <v>19.07</v>
      </c>
      <c r="AD50" s="105"/>
      <c r="AE50" s="113"/>
      <c r="AF50" s="115">
        <f t="shared" si="40"/>
        <v>0</v>
      </c>
      <c r="AG50" s="115"/>
      <c r="AH50" s="115"/>
      <c r="AI50" s="115">
        <f t="shared" si="41"/>
        <v>0</v>
      </c>
      <c r="AJ50" s="115"/>
      <c r="AK50" s="115">
        <f t="shared" si="42"/>
        <v>0</v>
      </c>
      <c r="AL50" s="115"/>
      <c r="AM50" s="115"/>
      <c r="AN50" s="115">
        <f t="shared" si="43"/>
        <v>0</v>
      </c>
      <c r="AO50" s="115">
        <f t="shared" si="44"/>
        <v>0</v>
      </c>
      <c r="AP50" s="105"/>
      <c r="AQ50" s="105">
        <f>87.75+152.85+158.25+51</f>
        <v>449.85</v>
      </c>
      <c r="AR50" s="116">
        <f t="shared" si="12"/>
        <v>29.990000000000002</v>
      </c>
      <c r="AS50" s="116"/>
      <c r="AT50" s="116">
        <v>3</v>
      </c>
      <c r="AU50" s="116">
        <f t="shared" si="45"/>
        <v>32.99</v>
      </c>
      <c r="AV50" s="105"/>
      <c r="AW50" s="116">
        <f t="shared" si="46"/>
        <v>0</v>
      </c>
      <c r="AX50" s="116"/>
      <c r="AY50" s="116"/>
      <c r="AZ50" s="116">
        <f t="shared" si="47"/>
        <v>0</v>
      </c>
      <c r="BA50" s="116">
        <f t="shared" si="48"/>
        <v>32.99</v>
      </c>
      <c r="BB50" s="105"/>
      <c r="BC50" s="119" t="s">
        <v>96</v>
      </c>
      <c r="BD50" s="123"/>
      <c r="BE50" s="120"/>
      <c r="BF50" s="120"/>
      <c r="BG50" s="120"/>
      <c r="BH50" s="120"/>
    </row>
    <row r="51" spans="1:60" s="132" customFormat="1" x14ac:dyDescent="0.2">
      <c r="A51" s="59"/>
      <c r="B51" s="68">
        <v>11</v>
      </c>
      <c r="C51" s="59" t="s">
        <v>70</v>
      </c>
      <c r="D51" s="71">
        <v>393.08073189302371</v>
      </c>
      <c r="E51" s="71">
        <v>289.41926810697629</v>
      </c>
      <c r="F51" s="71">
        <v>682.5</v>
      </c>
      <c r="G51" s="111">
        <f t="shared" si="35"/>
        <v>1.4405420237240913E-2</v>
      </c>
      <c r="H51" s="58">
        <f t="shared" si="36"/>
        <v>41.660475326100723</v>
      </c>
      <c r="I51" s="112">
        <v>42</v>
      </c>
      <c r="J51" s="58">
        <f t="shared" si="37"/>
        <v>24.057051796192326</v>
      </c>
      <c r="K51" s="112">
        <v>24</v>
      </c>
      <c r="L51" s="105" t="s">
        <v>85</v>
      </c>
      <c r="M51" s="161" t="s">
        <v>88</v>
      </c>
      <c r="N51" s="161"/>
      <c r="O51" s="161"/>
      <c r="P51" s="105"/>
      <c r="Q51" s="105"/>
      <c r="R51" s="105"/>
      <c r="S51" s="113">
        <f>280+200+200+200+280+400+120</f>
        <v>1680</v>
      </c>
      <c r="T51" s="114">
        <f t="shared" si="16"/>
        <v>42</v>
      </c>
      <c r="U51" s="114">
        <f>280+200+200+200+280+400+120</f>
        <v>1680</v>
      </c>
      <c r="V51" s="114"/>
      <c r="W51" s="114">
        <f t="shared" si="6"/>
        <v>42</v>
      </c>
      <c r="X51" s="114"/>
      <c r="Y51" s="114">
        <f t="shared" si="38"/>
        <v>0</v>
      </c>
      <c r="Z51" s="114">
        <f>280+200+200+200+280+400+120</f>
        <v>1680</v>
      </c>
      <c r="AA51" s="114"/>
      <c r="AB51" s="114">
        <f t="shared" si="39"/>
        <v>0</v>
      </c>
      <c r="AC51" s="114">
        <f t="shared" si="8"/>
        <v>42</v>
      </c>
      <c r="AD51" s="105"/>
      <c r="AE51" s="113"/>
      <c r="AF51" s="115">
        <f t="shared" si="40"/>
        <v>0</v>
      </c>
      <c r="AG51" s="115">
        <f>280+200+200+200+280+400+120</f>
        <v>1680</v>
      </c>
      <c r="AH51" s="115"/>
      <c r="AI51" s="115">
        <f t="shared" si="41"/>
        <v>0</v>
      </c>
      <c r="AJ51" s="115"/>
      <c r="AK51" s="115">
        <f t="shared" si="42"/>
        <v>0</v>
      </c>
      <c r="AL51" s="115">
        <f>280+200+200+200+280+400+120</f>
        <v>1680</v>
      </c>
      <c r="AM51" s="115"/>
      <c r="AN51" s="115">
        <f t="shared" si="43"/>
        <v>0</v>
      </c>
      <c r="AO51" s="115">
        <f t="shared" si="44"/>
        <v>0</v>
      </c>
      <c r="AP51" s="105"/>
      <c r="AQ51" s="105">
        <f>45+35+45+70+60+45+45</f>
        <v>345</v>
      </c>
      <c r="AR51" s="116">
        <f t="shared" si="12"/>
        <v>23</v>
      </c>
      <c r="AS51" s="116"/>
      <c r="AT51" s="116"/>
      <c r="AU51" s="116">
        <f t="shared" si="45"/>
        <v>23</v>
      </c>
      <c r="AV51" s="105"/>
      <c r="AW51" s="116">
        <f t="shared" si="46"/>
        <v>0</v>
      </c>
      <c r="AX51" s="116"/>
      <c r="AY51" s="116"/>
      <c r="AZ51" s="116">
        <f t="shared" si="47"/>
        <v>0</v>
      </c>
      <c r="BA51" s="116">
        <f t="shared" si="48"/>
        <v>23</v>
      </c>
      <c r="BB51" s="105"/>
      <c r="BC51" s="119" t="s">
        <v>94</v>
      </c>
      <c r="BD51" s="123"/>
      <c r="BE51" s="59"/>
      <c r="BF51" s="59"/>
      <c r="BG51" s="59"/>
      <c r="BH51" s="59"/>
    </row>
    <row r="52" spans="1:60" s="132" customFormat="1" x14ac:dyDescent="0.2">
      <c r="A52" s="59"/>
      <c r="B52" s="68">
        <v>12</v>
      </c>
      <c r="C52" s="59" t="s">
        <v>71</v>
      </c>
      <c r="D52" s="71">
        <v>37.279623108403925</v>
      </c>
      <c r="E52" s="71">
        <v>46.720376891596075</v>
      </c>
      <c r="F52" s="71">
        <v>84</v>
      </c>
      <c r="G52" s="111">
        <f t="shared" si="35"/>
        <v>1.7729747984296508E-3</v>
      </c>
      <c r="H52" s="58">
        <f t="shared" si="36"/>
        <v>5.1274431170585499</v>
      </c>
      <c r="I52" s="112">
        <v>5</v>
      </c>
      <c r="J52" s="58">
        <f t="shared" si="37"/>
        <v>2.9608679133775166</v>
      </c>
      <c r="K52" s="112">
        <v>3</v>
      </c>
      <c r="L52" s="105" t="s">
        <v>123</v>
      </c>
      <c r="M52" s="161" t="s">
        <v>122</v>
      </c>
      <c r="N52" s="161"/>
      <c r="O52" s="161"/>
      <c r="P52" s="105"/>
      <c r="Q52" s="105"/>
      <c r="R52" s="105"/>
      <c r="S52" s="113"/>
      <c r="T52" s="114">
        <f t="shared" si="16"/>
        <v>0</v>
      </c>
      <c r="U52" s="114"/>
      <c r="V52" s="114"/>
      <c r="W52" s="114">
        <f t="shared" si="6"/>
        <v>0</v>
      </c>
      <c r="X52" s="114"/>
      <c r="Y52" s="114">
        <f t="shared" si="38"/>
        <v>0</v>
      </c>
      <c r="Z52" s="114"/>
      <c r="AA52" s="114"/>
      <c r="AB52" s="114">
        <f t="shared" si="39"/>
        <v>0</v>
      </c>
      <c r="AC52" s="114">
        <f t="shared" si="8"/>
        <v>0</v>
      </c>
      <c r="AD52" s="105"/>
      <c r="AE52" s="113"/>
      <c r="AF52" s="115">
        <f t="shared" si="40"/>
        <v>0</v>
      </c>
      <c r="AG52" s="115"/>
      <c r="AH52" s="115"/>
      <c r="AI52" s="115">
        <f t="shared" si="41"/>
        <v>0</v>
      </c>
      <c r="AJ52" s="115"/>
      <c r="AK52" s="115">
        <f t="shared" si="42"/>
        <v>0</v>
      </c>
      <c r="AL52" s="115"/>
      <c r="AM52" s="115"/>
      <c r="AN52" s="115">
        <f t="shared" si="43"/>
        <v>0</v>
      </c>
      <c r="AO52" s="115">
        <f t="shared" si="44"/>
        <v>0</v>
      </c>
      <c r="AP52" s="105"/>
      <c r="AQ52" s="105">
        <f>450+105+180+90+90+240</f>
        <v>1155</v>
      </c>
      <c r="AR52" s="116">
        <f t="shared" si="12"/>
        <v>77</v>
      </c>
      <c r="AS52" s="116"/>
      <c r="AT52" s="116"/>
      <c r="AU52" s="116">
        <f t="shared" si="45"/>
        <v>77</v>
      </c>
      <c r="AV52" s="105"/>
      <c r="AW52" s="116">
        <f t="shared" si="46"/>
        <v>0</v>
      </c>
      <c r="AX52" s="116"/>
      <c r="AY52" s="116"/>
      <c r="AZ52" s="116">
        <f t="shared" si="47"/>
        <v>0</v>
      </c>
      <c r="BA52" s="116">
        <f t="shared" si="48"/>
        <v>77</v>
      </c>
      <c r="BB52" s="105"/>
      <c r="BC52" s="119" t="s">
        <v>142</v>
      </c>
      <c r="BD52" s="123"/>
      <c r="BE52" s="59"/>
      <c r="BF52" s="59"/>
      <c r="BG52" s="59"/>
      <c r="BH52" s="59"/>
    </row>
    <row r="53" spans="1:60" s="132" customFormat="1" x14ac:dyDescent="0.2">
      <c r="A53" s="59"/>
      <c r="B53" s="68">
        <v>13</v>
      </c>
      <c r="C53" s="59" t="s">
        <v>72</v>
      </c>
      <c r="D53" s="71">
        <v>66.884029694489385</v>
      </c>
      <c r="E53" s="71">
        <v>63.115970305510615</v>
      </c>
      <c r="F53" s="71">
        <v>130</v>
      </c>
      <c r="G53" s="111">
        <f t="shared" si="35"/>
        <v>2.7438895689982693E-3</v>
      </c>
      <c r="H53" s="58">
        <f t="shared" si="36"/>
        <v>7.9353286335429951</v>
      </c>
      <c r="I53" s="112">
        <v>8</v>
      </c>
      <c r="J53" s="58">
        <f t="shared" si="37"/>
        <v>4.5822955802271101</v>
      </c>
      <c r="K53" s="112">
        <v>5</v>
      </c>
      <c r="L53" s="105"/>
      <c r="M53" s="161"/>
      <c r="N53" s="161"/>
      <c r="O53" s="161"/>
      <c r="P53" s="105"/>
      <c r="Q53" s="105"/>
      <c r="R53" s="105"/>
      <c r="S53" s="113"/>
      <c r="T53" s="114">
        <f t="shared" si="16"/>
        <v>0</v>
      </c>
      <c r="U53" s="114"/>
      <c r="V53" s="114"/>
      <c r="W53" s="114">
        <f t="shared" si="6"/>
        <v>0</v>
      </c>
      <c r="X53" s="114"/>
      <c r="Y53" s="114">
        <f t="shared" si="38"/>
        <v>0</v>
      </c>
      <c r="Z53" s="114"/>
      <c r="AA53" s="114"/>
      <c r="AB53" s="114">
        <f t="shared" si="39"/>
        <v>0</v>
      </c>
      <c r="AC53" s="114">
        <f t="shared" si="8"/>
        <v>0</v>
      </c>
      <c r="AD53" s="105"/>
      <c r="AE53" s="113"/>
      <c r="AF53" s="115">
        <f t="shared" si="40"/>
        <v>0</v>
      </c>
      <c r="AG53" s="115"/>
      <c r="AH53" s="115"/>
      <c r="AI53" s="115">
        <f t="shared" si="41"/>
        <v>0</v>
      </c>
      <c r="AJ53" s="115"/>
      <c r="AK53" s="115">
        <f t="shared" si="42"/>
        <v>0</v>
      </c>
      <c r="AL53" s="115"/>
      <c r="AM53" s="115"/>
      <c r="AN53" s="115">
        <f t="shared" si="43"/>
        <v>0</v>
      </c>
      <c r="AO53" s="115">
        <f t="shared" si="44"/>
        <v>0</v>
      </c>
      <c r="AP53" s="105"/>
      <c r="AQ53" s="105"/>
      <c r="AR53" s="116">
        <f t="shared" si="12"/>
        <v>0</v>
      </c>
      <c r="AS53" s="116"/>
      <c r="AT53" s="116"/>
      <c r="AU53" s="116">
        <f t="shared" si="45"/>
        <v>0</v>
      </c>
      <c r="AV53" s="105"/>
      <c r="AW53" s="116">
        <f t="shared" si="46"/>
        <v>0</v>
      </c>
      <c r="AX53" s="116"/>
      <c r="AY53" s="116"/>
      <c r="AZ53" s="116">
        <f t="shared" si="47"/>
        <v>0</v>
      </c>
      <c r="BA53" s="116">
        <f t="shared" si="48"/>
        <v>0</v>
      </c>
      <c r="BB53" s="105"/>
      <c r="BC53" s="119"/>
      <c r="BD53" s="123"/>
      <c r="BE53" s="59"/>
      <c r="BF53" s="59"/>
      <c r="BG53" s="59"/>
      <c r="BH53" s="59"/>
    </row>
    <row r="54" spans="1:60" s="132" customFormat="1" x14ac:dyDescent="0.2">
      <c r="A54" s="59"/>
      <c r="B54" s="68">
        <v>14</v>
      </c>
      <c r="C54" s="59" t="s">
        <v>73</v>
      </c>
      <c r="D54" s="71">
        <v>131.57514038260206</v>
      </c>
      <c r="E54" s="71">
        <v>293.42485961739794</v>
      </c>
      <c r="F54" s="71">
        <v>425</v>
      </c>
      <c r="G54" s="111">
        <f t="shared" si="35"/>
        <v>8.9704082063404959E-3</v>
      </c>
      <c r="H54" s="58">
        <f t="shared" si="36"/>
        <v>25.942420532736715</v>
      </c>
      <c r="I54" s="112">
        <v>26</v>
      </c>
      <c r="J54" s="58">
        <f t="shared" si="37"/>
        <v>14.980581704588628</v>
      </c>
      <c r="K54" s="112">
        <v>15</v>
      </c>
      <c r="L54" s="105" t="s">
        <v>88</v>
      </c>
      <c r="M54" s="161"/>
      <c r="N54" s="161"/>
      <c r="O54" s="161"/>
      <c r="P54" s="105"/>
      <c r="Q54" s="105"/>
      <c r="R54" s="105"/>
      <c r="S54" s="113"/>
      <c r="T54" s="114">
        <f t="shared" si="16"/>
        <v>0</v>
      </c>
      <c r="U54" s="114"/>
      <c r="V54" s="114"/>
      <c r="W54" s="114">
        <f t="shared" si="6"/>
        <v>0</v>
      </c>
      <c r="X54" s="114"/>
      <c r="Y54" s="114">
        <f t="shared" si="38"/>
        <v>0</v>
      </c>
      <c r="Z54" s="114"/>
      <c r="AA54" s="114"/>
      <c r="AB54" s="114">
        <f t="shared" si="39"/>
        <v>0</v>
      </c>
      <c r="AC54" s="114">
        <f t="shared" si="8"/>
        <v>0</v>
      </c>
      <c r="AD54" s="105"/>
      <c r="AE54" s="113"/>
      <c r="AF54" s="115">
        <f t="shared" si="40"/>
        <v>0</v>
      </c>
      <c r="AG54" s="115"/>
      <c r="AH54" s="115"/>
      <c r="AI54" s="115">
        <f t="shared" si="41"/>
        <v>0</v>
      </c>
      <c r="AJ54" s="115"/>
      <c r="AK54" s="115">
        <f t="shared" si="42"/>
        <v>0</v>
      </c>
      <c r="AL54" s="115"/>
      <c r="AM54" s="115"/>
      <c r="AN54" s="115">
        <f t="shared" si="43"/>
        <v>0</v>
      </c>
      <c r="AO54" s="115">
        <f t="shared" si="44"/>
        <v>0</v>
      </c>
      <c r="AP54" s="105"/>
      <c r="AQ54" s="105"/>
      <c r="AR54" s="116">
        <f t="shared" si="12"/>
        <v>0</v>
      </c>
      <c r="AS54" s="116"/>
      <c r="AT54" s="116"/>
      <c r="AU54" s="116">
        <f t="shared" si="45"/>
        <v>0</v>
      </c>
      <c r="AV54" s="105"/>
      <c r="AW54" s="116">
        <f t="shared" si="46"/>
        <v>0</v>
      </c>
      <c r="AX54" s="116"/>
      <c r="AY54" s="116"/>
      <c r="AZ54" s="116">
        <f t="shared" si="47"/>
        <v>0</v>
      </c>
      <c r="BA54" s="116">
        <f t="shared" si="48"/>
        <v>0</v>
      </c>
      <c r="BB54" s="105"/>
      <c r="BC54" s="119" t="s">
        <v>141</v>
      </c>
      <c r="BD54" s="123"/>
      <c r="BE54" s="59"/>
      <c r="BF54" s="59"/>
      <c r="BG54" s="59"/>
      <c r="BH54" s="59"/>
    </row>
    <row r="55" spans="1:60" s="132" customFormat="1" x14ac:dyDescent="0.2">
      <c r="A55" s="59"/>
      <c r="B55" s="68">
        <v>15</v>
      </c>
      <c r="C55" s="59" t="s">
        <v>74</v>
      </c>
      <c r="D55" s="71">
        <v>124.4481536118778</v>
      </c>
      <c r="E55" s="71">
        <v>1011.0518463881222</v>
      </c>
      <c r="F55" s="71">
        <v>1135.5</v>
      </c>
      <c r="G55" s="111">
        <f t="shared" si="35"/>
        <v>2.396682004305796E-2</v>
      </c>
      <c r="H55" s="58">
        <f t="shared" si="36"/>
        <v>69.31204356452362</v>
      </c>
      <c r="I55" s="112">
        <v>70</v>
      </c>
      <c r="J55" s="58">
        <f t="shared" si="37"/>
        <v>40.024589471906793</v>
      </c>
      <c r="K55" s="112">
        <v>40</v>
      </c>
      <c r="L55" s="105"/>
      <c r="M55" s="161"/>
      <c r="N55" s="161"/>
      <c r="O55" s="161"/>
      <c r="P55" s="105"/>
      <c r="Q55" s="105"/>
      <c r="R55" s="105"/>
      <c r="S55" s="113"/>
      <c r="T55" s="114">
        <f t="shared" si="16"/>
        <v>0</v>
      </c>
      <c r="U55" s="114"/>
      <c r="V55" s="114"/>
      <c r="W55" s="114">
        <f t="shared" si="6"/>
        <v>0</v>
      </c>
      <c r="X55" s="114"/>
      <c r="Y55" s="114">
        <f t="shared" si="38"/>
        <v>0</v>
      </c>
      <c r="Z55" s="114"/>
      <c r="AA55" s="114"/>
      <c r="AB55" s="114">
        <f t="shared" si="39"/>
        <v>0</v>
      </c>
      <c r="AC55" s="114">
        <f t="shared" si="8"/>
        <v>0</v>
      </c>
      <c r="AD55" s="105"/>
      <c r="AE55" s="113"/>
      <c r="AF55" s="115">
        <f t="shared" si="40"/>
        <v>0</v>
      </c>
      <c r="AG55" s="115"/>
      <c r="AH55" s="115"/>
      <c r="AI55" s="115">
        <f t="shared" si="41"/>
        <v>0</v>
      </c>
      <c r="AJ55" s="115"/>
      <c r="AK55" s="115">
        <f t="shared" si="42"/>
        <v>0</v>
      </c>
      <c r="AL55" s="115"/>
      <c r="AM55" s="115"/>
      <c r="AN55" s="115">
        <f t="shared" si="43"/>
        <v>0</v>
      </c>
      <c r="AO55" s="115">
        <f t="shared" si="44"/>
        <v>0</v>
      </c>
      <c r="AP55" s="105"/>
      <c r="AQ55" s="105"/>
      <c r="AR55" s="116">
        <f t="shared" si="12"/>
        <v>0</v>
      </c>
      <c r="AS55" s="116"/>
      <c r="AT55" s="116"/>
      <c r="AU55" s="116">
        <f t="shared" si="45"/>
        <v>0</v>
      </c>
      <c r="AV55" s="105"/>
      <c r="AW55" s="116">
        <f t="shared" si="46"/>
        <v>0</v>
      </c>
      <c r="AX55" s="116"/>
      <c r="AY55" s="116"/>
      <c r="AZ55" s="116">
        <f t="shared" si="47"/>
        <v>0</v>
      </c>
      <c r="BA55" s="116">
        <f t="shared" si="48"/>
        <v>0</v>
      </c>
      <c r="BB55" s="105"/>
      <c r="BC55" s="119"/>
      <c r="BD55" s="123"/>
      <c r="BE55" s="59"/>
      <c r="BF55" s="59"/>
      <c r="BG55" s="59"/>
      <c r="BH55" s="59"/>
    </row>
    <row r="56" spans="1:60" s="132" customFormat="1" x14ac:dyDescent="0.2">
      <c r="A56" s="59" t="s">
        <v>107</v>
      </c>
      <c r="B56" s="68">
        <v>16</v>
      </c>
      <c r="C56" s="59" t="s">
        <v>75</v>
      </c>
      <c r="D56" s="71">
        <v>2680.8434852955174</v>
      </c>
      <c r="E56" s="71">
        <v>174.15651470448256</v>
      </c>
      <c r="F56" s="71">
        <v>2855</v>
      </c>
      <c r="G56" s="111">
        <f t="shared" si="35"/>
        <v>6.0260036303769679E-2</v>
      </c>
      <c r="H56" s="58">
        <f t="shared" si="36"/>
        <v>174.2720249905019</v>
      </c>
      <c r="I56" s="112">
        <v>174</v>
      </c>
      <c r="J56" s="58">
        <f t="shared" si="37"/>
        <v>100.63426062729536</v>
      </c>
      <c r="K56" s="112">
        <v>101</v>
      </c>
      <c r="L56" s="105" t="s">
        <v>85</v>
      </c>
      <c r="M56" s="161" t="s">
        <v>88</v>
      </c>
      <c r="N56" s="161"/>
      <c r="O56" s="161"/>
      <c r="P56" s="105"/>
      <c r="Q56" s="105"/>
      <c r="R56" s="105"/>
      <c r="S56" s="113">
        <f>3680+3280</f>
        <v>6960</v>
      </c>
      <c r="T56" s="114">
        <f t="shared" si="16"/>
        <v>174</v>
      </c>
      <c r="U56" s="114">
        <f>3680+3280</f>
        <v>6960</v>
      </c>
      <c r="V56" s="114"/>
      <c r="W56" s="114">
        <f t="shared" si="6"/>
        <v>174</v>
      </c>
      <c r="X56" s="114"/>
      <c r="Y56" s="114">
        <f t="shared" si="38"/>
        <v>0</v>
      </c>
      <c r="Z56" s="114">
        <f>3680+3280</f>
        <v>6960</v>
      </c>
      <c r="AA56" s="114">
        <v>380</v>
      </c>
      <c r="AB56" s="114">
        <f t="shared" si="39"/>
        <v>380</v>
      </c>
      <c r="AC56" s="114">
        <f t="shared" si="8"/>
        <v>554</v>
      </c>
      <c r="AD56" s="105"/>
      <c r="AE56" s="113"/>
      <c r="AF56" s="115">
        <f t="shared" si="40"/>
        <v>0</v>
      </c>
      <c r="AG56" s="115">
        <f>3680+3280</f>
        <v>6960</v>
      </c>
      <c r="AH56" s="115"/>
      <c r="AI56" s="115">
        <f t="shared" si="41"/>
        <v>0</v>
      </c>
      <c r="AJ56" s="115"/>
      <c r="AK56" s="115">
        <f t="shared" si="42"/>
        <v>0</v>
      </c>
      <c r="AL56" s="115">
        <f>3680+3280</f>
        <v>6960</v>
      </c>
      <c r="AM56" s="115"/>
      <c r="AN56" s="115">
        <f t="shared" si="43"/>
        <v>0</v>
      </c>
      <c r="AO56" s="115">
        <f t="shared" si="44"/>
        <v>0</v>
      </c>
      <c r="AP56" s="105"/>
      <c r="AQ56" s="105">
        <f>4080</f>
        <v>4080</v>
      </c>
      <c r="AR56" s="116">
        <f t="shared" si="12"/>
        <v>272</v>
      </c>
      <c r="AS56" s="116"/>
      <c r="AT56" s="116"/>
      <c r="AU56" s="116">
        <f t="shared" si="45"/>
        <v>272</v>
      </c>
      <c r="AV56" s="105"/>
      <c r="AW56" s="116">
        <f t="shared" si="46"/>
        <v>0</v>
      </c>
      <c r="AX56" s="116"/>
      <c r="AY56" s="116"/>
      <c r="AZ56" s="116">
        <f t="shared" si="47"/>
        <v>0</v>
      </c>
      <c r="BA56" s="116">
        <f t="shared" si="48"/>
        <v>272</v>
      </c>
      <c r="BB56" s="105"/>
      <c r="BC56" s="119" t="s">
        <v>140</v>
      </c>
      <c r="BD56" s="123"/>
      <c r="BE56" s="59"/>
      <c r="BF56" s="59"/>
      <c r="BG56" s="59"/>
      <c r="BH56" s="59"/>
    </row>
    <row r="57" spans="1:60" s="132" customFormat="1" x14ac:dyDescent="0.2">
      <c r="A57" s="59"/>
      <c r="B57" s="68">
        <v>17</v>
      </c>
      <c r="C57" s="59" t="s">
        <v>76</v>
      </c>
      <c r="D57" s="71">
        <v>21.929190063767013</v>
      </c>
      <c r="E57" s="71">
        <v>536.07080993623299</v>
      </c>
      <c r="F57" s="71">
        <v>558</v>
      </c>
      <c r="G57" s="111">
        <f t="shared" si="35"/>
        <v>1.1777618303854109E-2</v>
      </c>
      <c r="H57" s="58">
        <f t="shared" si="36"/>
        <v>34.060872134746084</v>
      </c>
      <c r="I57" s="112">
        <v>34</v>
      </c>
      <c r="J57" s="58">
        <f t="shared" si="37"/>
        <v>19.668622567436362</v>
      </c>
      <c r="K57" s="112">
        <v>20</v>
      </c>
      <c r="L57" s="105"/>
      <c r="M57" s="161"/>
      <c r="N57" s="161"/>
      <c r="O57" s="161"/>
      <c r="P57" s="105"/>
      <c r="Q57" s="105"/>
      <c r="R57" s="105"/>
      <c r="S57" s="113">
        <v>1600</v>
      </c>
      <c r="T57" s="114">
        <f t="shared" si="16"/>
        <v>40</v>
      </c>
      <c r="U57" s="114"/>
      <c r="V57" s="114"/>
      <c r="W57" s="114">
        <f t="shared" si="6"/>
        <v>40</v>
      </c>
      <c r="X57" s="114"/>
      <c r="Y57" s="114">
        <v>0</v>
      </c>
      <c r="Z57" s="114"/>
      <c r="AA57" s="114"/>
      <c r="AB57" s="114">
        <f t="shared" si="39"/>
        <v>0</v>
      </c>
      <c r="AC57" s="114">
        <f t="shared" si="8"/>
        <v>40</v>
      </c>
      <c r="AD57" s="105"/>
      <c r="AE57" s="113"/>
      <c r="AF57" s="115">
        <v>0</v>
      </c>
      <c r="AG57" s="115"/>
      <c r="AH57" s="115"/>
      <c r="AI57" s="115">
        <f t="shared" si="41"/>
        <v>0</v>
      </c>
      <c r="AJ57" s="115"/>
      <c r="AK57" s="115">
        <v>0</v>
      </c>
      <c r="AL57" s="115"/>
      <c r="AM57" s="115"/>
      <c r="AN57" s="115">
        <f t="shared" si="43"/>
        <v>0</v>
      </c>
      <c r="AO57" s="115">
        <f t="shared" si="44"/>
        <v>0</v>
      </c>
      <c r="AP57" s="105"/>
      <c r="AQ57" s="105"/>
      <c r="AR57" s="116">
        <f t="shared" si="12"/>
        <v>0</v>
      </c>
      <c r="AS57" s="116"/>
      <c r="AT57" s="116"/>
      <c r="AU57" s="116">
        <f t="shared" si="45"/>
        <v>0</v>
      </c>
      <c r="AV57" s="105"/>
      <c r="AW57" s="116">
        <v>0</v>
      </c>
      <c r="AX57" s="116"/>
      <c r="AY57" s="116"/>
      <c r="AZ57" s="116">
        <f t="shared" si="47"/>
        <v>0</v>
      </c>
      <c r="BA57" s="116">
        <f t="shared" si="48"/>
        <v>0</v>
      </c>
      <c r="BB57" s="105"/>
      <c r="BC57" s="119"/>
      <c r="BD57" s="123"/>
      <c r="BE57" s="59"/>
      <c r="BF57" s="59"/>
      <c r="BG57" s="59"/>
      <c r="BH57" s="59"/>
    </row>
    <row r="58" spans="1:60" s="132" customFormat="1" x14ac:dyDescent="0.2">
      <c r="A58" s="59"/>
      <c r="B58" s="68">
        <v>18</v>
      </c>
      <c r="C58" s="59" t="s">
        <v>77</v>
      </c>
      <c r="D58" s="71">
        <v>840.98443894546494</v>
      </c>
      <c r="E58" s="71">
        <v>358.01556105453506</v>
      </c>
      <c r="F58" s="71">
        <v>1199</v>
      </c>
      <c r="G58" s="111">
        <f t="shared" si="35"/>
        <v>2.5307104563299421E-2</v>
      </c>
      <c r="H58" s="58">
        <f t="shared" si="36"/>
        <v>73.188146397061928</v>
      </c>
      <c r="I58" s="112">
        <v>73</v>
      </c>
      <c r="J58" s="58">
        <f t="shared" si="37"/>
        <v>42.262864620710033</v>
      </c>
      <c r="K58" s="112">
        <v>42</v>
      </c>
      <c r="L58" s="105" t="s">
        <v>85</v>
      </c>
      <c r="M58" s="161" t="s">
        <v>122</v>
      </c>
      <c r="N58" s="161"/>
      <c r="O58" s="161"/>
      <c r="P58" s="105"/>
      <c r="Q58" s="105"/>
      <c r="R58" s="105"/>
      <c r="S58" s="113">
        <f>960+960+560+400</f>
        <v>2880</v>
      </c>
      <c r="T58" s="114">
        <f t="shared" si="16"/>
        <v>72</v>
      </c>
      <c r="U58" s="114">
        <f>960+960+560+400</f>
        <v>2880</v>
      </c>
      <c r="V58" s="114"/>
      <c r="W58" s="114">
        <f t="shared" si="6"/>
        <v>72</v>
      </c>
      <c r="X58" s="114"/>
      <c r="Y58" s="114">
        <f t="shared" ref="Y58:Y59" si="49">X58/40</f>
        <v>0</v>
      </c>
      <c r="Z58" s="114">
        <f>960+960+560+400</f>
        <v>2880</v>
      </c>
      <c r="AA58" s="114"/>
      <c r="AB58" s="114">
        <f t="shared" si="39"/>
        <v>0</v>
      </c>
      <c r="AC58" s="114">
        <f t="shared" si="8"/>
        <v>72</v>
      </c>
      <c r="AD58" s="105"/>
      <c r="AE58" s="113"/>
      <c r="AF58" s="115">
        <f t="shared" ref="AF58:AF59" si="50">AE58/40</f>
        <v>0</v>
      </c>
      <c r="AG58" s="115">
        <f>960+960+560+400</f>
        <v>2880</v>
      </c>
      <c r="AH58" s="115"/>
      <c r="AI58" s="115">
        <f t="shared" si="41"/>
        <v>0</v>
      </c>
      <c r="AJ58" s="115"/>
      <c r="AK58" s="115">
        <f t="shared" ref="AK58:AK59" si="51">AJ58/40</f>
        <v>0</v>
      </c>
      <c r="AL58" s="115">
        <f>960+960+560+400</f>
        <v>2880</v>
      </c>
      <c r="AM58" s="115"/>
      <c r="AN58" s="115">
        <f t="shared" si="43"/>
        <v>0</v>
      </c>
      <c r="AO58" s="115">
        <f t="shared" si="44"/>
        <v>0</v>
      </c>
      <c r="AP58" s="105"/>
      <c r="AQ58" s="105">
        <f>75+135+210+150+60</f>
        <v>630</v>
      </c>
      <c r="AR58" s="116">
        <f t="shared" si="12"/>
        <v>42</v>
      </c>
      <c r="AS58" s="116"/>
      <c r="AT58" s="116"/>
      <c r="AU58" s="116">
        <f t="shared" si="45"/>
        <v>42</v>
      </c>
      <c r="AV58" s="105"/>
      <c r="AW58" s="116">
        <f t="shared" ref="AW58:AW59" si="52">AV58/40</f>
        <v>0</v>
      </c>
      <c r="AX58" s="116"/>
      <c r="AY58" s="116"/>
      <c r="AZ58" s="116">
        <f t="shared" si="47"/>
        <v>0</v>
      </c>
      <c r="BA58" s="116">
        <f t="shared" si="48"/>
        <v>42</v>
      </c>
      <c r="BB58" s="105"/>
      <c r="BC58" s="119" t="s">
        <v>94</v>
      </c>
      <c r="BD58" s="123"/>
      <c r="BE58" s="59"/>
      <c r="BF58" s="59"/>
      <c r="BG58" s="59"/>
      <c r="BH58" s="59"/>
    </row>
    <row r="59" spans="1:60" s="132" customFormat="1" x14ac:dyDescent="0.2">
      <c r="A59" s="59"/>
      <c r="B59" s="68">
        <v>19</v>
      </c>
      <c r="C59" s="59" t="s">
        <v>78</v>
      </c>
      <c r="D59" s="71">
        <v>494.50323593794616</v>
      </c>
      <c r="E59" s="71">
        <v>302.49676406205384</v>
      </c>
      <c r="F59" s="71">
        <v>797</v>
      </c>
      <c r="G59" s="111">
        <f t="shared" si="35"/>
        <v>1.6822153742243235E-2</v>
      </c>
      <c r="H59" s="58">
        <f t="shared" si="36"/>
        <v>48.649668622567432</v>
      </c>
      <c r="I59" s="112">
        <v>49</v>
      </c>
      <c r="J59" s="58">
        <f t="shared" si="37"/>
        <v>28.092996749546202</v>
      </c>
      <c r="K59" s="112">
        <v>28</v>
      </c>
      <c r="L59" s="105"/>
      <c r="M59" s="161"/>
      <c r="N59" s="161"/>
      <c r="O59" s="161"/>
      <c r="P59" s="105"/>
      <c r="Q59" s="105"/>
      <c r="R59" s="105"/>
      <c r="S59" s="113"/>
      <c r="T59" s="114">
        <f t="shared" si="16"/>
        <v>0</v>
      </c>
      <c r="U59" s="114"/>
      <c r="V59" s="114"/>
      <c r="W59" s="114">
        <f t="shared" si="6"/>
        <v>0</v>
      </c>
      <c r="X59" s="114"/>
      <c r="Y59" s="114">
        <f t="shared" si="49"/>
        <v>0</v>
      </c>
      <c r="Z59" s="114"/>
      <c r="AA59" s="114"/>
      <c r="AB59" s="114">
        <f t="shared" si="39"/>
        <v>0</v>
      </c>
      <c r="AC59" s="114">
        <f t="shared" si="8"/>
        <v>0</v>
      </c>
      <c r="AD59" s="105"/>
      <c r="AE59" s="113"/>
      <c r="AF59" s="115">
        <f t="shared" si="50"/>
        <v>0</v>
      </c>
      <c r="AG59" s="115"/>
      <c r="AH59" s="115"/>
      <c r="AI59" s="115">
        <f t="shared" si="41"/>
        <v>0</v>
      </c>
      <c r="AJ59" s="115"/>
      <c r="AK59" s="115">
        <f t="shared" si="51"/>
        <v>0</v>
      </c>
      <c r="AL59" s="115"/>
      <c r="AM59" s="115"/>
      <c r="AN59" s="115">
        <f t="shared" si="43"/>
        <v>0</v>
      </c>
      <c r="AO59" s="115">
        <f t="shared" si="44"/>
        <v>0</v>
      </c>
      <c r="AP59" s="105"/>
      <c r="AQ59" s="105"/>
      <c r="AR59" s="116">
        <f t="shared" si="12"/>
        <v>0</v>
      </c>
      <c r="AS59" s="116"/>
      <c r="AT59" s="116"/>
      <c r="AU59" s="116">
        <f t="shared" si="45"/>
        <v>0</v>
      </c>
      <c r="AV59" s="105"/>
      <c r="AW59" s="116">
        <f t="shared" si="52"/>
        <v>0</v>
      </c>
      <c r="AX59" s="116"/>
      <c r="AY59" s="116"/>
      <c r="AZ59" s="116">
        <f t="shared" si="47"/>
        <v>0</v>
      </c>
      <c r="BA59" s="116">
        <f t="shared" si="48"/>
        <v>0</v>
      </c>
      <c r="BB59" s="105"/>
      <c r="BC59" s="119"/>
      <c r="BD59" s="123"/>
      <c r="BE59" s="59"/>
      <c r="BF59" s="59"/>
      <c r="BG59" s="59"/>
      <c r="BH59" s="59"/>
    </row>
    <row r="60" spans="1:60" s="134" customFormat="1" ht="13.15" customHeight="1" x14ac:dyDescent="0.25">
      <c r="G60" s="146"/>
      <c r="M60" s="167"/>
      <c r="N60" s="167"/>
      <c r="O60" s="167"/>
      <c r="P60" s="169"/>
      <c r="S60" s="69"/>
      <c r="U60" s="69"/>
      <c r="X60" s="69"/>
      <c r="Z60" s="69"/>
      <c r="AE60" s="69"/>
      <c r="AG60" s="69"/>
      <c r="AJ60" s="69"/>
      <c r="AL60" s="69"/>
      <c r="AQ60" s="69"/>
      <c r="AS60" s="69"/>
      <c r="AV60" s="69"/>
      <c r="AX60" s="69"/>
      <c r="BC60" s="147"/>
      <c r="BD60" s="147"/>
    </row>
    <row r="61" spans="1:60" s="134" customFormat="1" ht="13.15" customHeight="1" x14ac:dyDescent="0.25">
      <c r="G61" s="146"/>
      <c r="M61" s="167"/>
      <c r="N61" s="167"/>
      <c r="O61" s="167"/>
      <c r="P61" s="169"/>
      <c r="S61" s="69"/>
      <c r="U61" s="69"/>
      <c r="X61" s="69"/>
      <c r="Z61" s="69"/>
      <c r="AE61" s="69"/>
      <c r="AG61" s="69"/>
      <c r="AJ61" s="69"/>
      <c r="AL61" s="69"/>
      <c r="AQ61" s="69"/>
      <c r="AS61" s="69"/>
      <c r="AV61" s="69"/>
      <c r="AX61" s="69"/>
      <c r="BC61" s="147"/>
      <c r="BD61" s="147"/>
    </row>
    <row r="62" spans="1:60" s="134" customFormat="1" ht="13.15" customHeight="1" x14ac:dyDescent="0.25">
      <c r="G62" s="146"/>
      <c r="M62" s="167"/>
      <c r="N62" s="167"/>
      <c r="O62" s="167"/>
      <c r="P62" s="169"/>
      <c r="S62" s="69"/>
      <c r="U62" s="69"/>
      <c r="X62" s="69"/>
      <c r="Z62" s="69"/>
      <c r="AE62" s="69"/>
      <c r="AG62" s="69"/>
      <c r="AJ62" s="69"/>
      <c r="AL62" s="69"/>
      <c r="AQ62" s="69"/>
      <c r="AS62" s="69"/>
      <c r="AV62" s="69"/>
      <c r="AX62" s="69"/>
      <c r="BC62" s="147"/>
      <c r="BD62" s="147"/>
    </row>
    <row r="63" spans="1:60" s="134" customFormat="1" ht="13.15" customHeight="1" x14ac:dyDescent="0.25">
      <c r="G63" s="146"/>
      <c r="M63" s="167"/>
      <c r="N63" s="167"/>
      <c r="O63" s="167"/>
      <c r="P63" s="169"/>
      <c r="S63" s="69"/>
      <c r="U63" s="69"/>
      <c r="X63" s="69"/>
      <c r="Z63" s="69"/>
      <c r="AE63" s="69"/>
      <c r="AG63" s="69"/>
      <c r="AJ63" s="69"/>
      <c r="AL63" s="69"/>
      <c r="AQ63" s="69"/>
      <c r="AS63" s="69"/>
      <c r="AV63" s="69"/>
      <c r="AX63" s="69"/>
      <c r="BC63" s="147"/>
      <c r="BD63" s="147"/>
    </row>
    <row r="64" spans="1:60" s="134" customFormat="1" ht="13.15" customHeight="1" x14ac:dyDescent="0.25">
      <c r="G64" s="146"/>
      <c r="M64" s="167"/>
      <c r="N64" s="167"/>
      <c r="O64" s="167"/>
      <c r="P64" s="169"/>
      <c r="S64" s="69"/>
      <c r="U64" s="69"/>
      <c r="X64" s="69"/>
      <c r="Z64" s="69"/>
      <c r="AE64" s="69"/>
      <c r="AG64" s="69"/>
      <c r="AJ64" s="69"/>
      <c r="AL64" s="69"/>
      <c r="AQ64" s="69"/>
      <c r="AS64" s="69"/>
      <c r="AV64" s="69"/>
      <c r="AX64" s="69"/>
      <c r="BC64" s="147"/>
      <c r="BD64" s="147"/>
    </row>
    <row r="65" spans="7:56" s="134" customFormat="1" ht="13.15" customHeight="1" x14ac:dyDescent="0.25">
      <c r="G65" s="146"/>
      <c r="M65" s="167"/>
      <c r="N65" s="167"/>
      <c r="O65" s="167"/>
      <c r="P65" s="169"/>
      <c r="S65" s="69"/>
      <c r="U65" s="69"/>
      <c r="X65" s="69"/>
      <c r="Z65" s="69"/>
      <c r="AE65" s="69"/>
      <c r="AG65" s="69"/>
      <c r="AJ65" s="69"/>
      <c r="AL65" s="69"/>
      <c r="AQ65" s="69"/>
      <c r="AS65" s="69"/>
      <c r="AV65" s="69"/>
      <c r="AX65" s="69"/>
      <c r="BC65" s="147"/>
      <c r="BD65" s="147"/>
    </row>
    <row r="66" spans="7:56" s="134" customFormat="1" ht="13.15" customHeight="1" x14ac:dyDescent="0.25">
      <c r="G66" s="146"/>
      <c r="M66" s="167"/>
      <c r="N66" s="167"/>
      <c r="O66" s="167"/>
      <c r="P66" s="169"/>
      <c r="S66" s="69"/>
      <c r="U66" s="69"/>
      <c r="X66" s="69"/>
      <c r="Z66" s="69"/>
      <c r="AE66" s="69"/>
      <c r="AG66" s="69"/>
      <c r="AJ66" s="69"/>
      <c r="AL66" s="69"/>
      <c r="AQ66" s="69"/>
      <c r="AS66" s="69"/>
      <c r="AV66" s="69"/>
      <c r="AX66" s="69"/>
      <c r="BC66" s="147"/>
      <c r="BD66" s="147"/>
    </row>
    <row r="67" spans="7:56" s="134" customFormat="1" ht="13.15" customHeight="1" x14ac:dyDescent="0.25">
      <c r="G67" s="146"/>
      <c r="M67" s="167"/>
      <c r="N67" s="167"/>
      <c r="O67" s="167"/>
      <c r="P67" s="169"/>
      <c r="S67" s="69"/>
      <c r="U67" s="69"/>
      <c r="X67" s="69"/>
      <c r="Z67" s="69"/>
      <c r="AE67" s="69"/>
      <c r="AG67" s="69"/>
      <c r="AJ67" s="69"/>
      <c r="AL67" s="69"/>
      <c r="AQ67" s="69"/>
      <c r="AS67" s="69"/>
      <c r="AV67" s="69"/>
      <c r="AX67" s="69"/>
      <c r="BC67" s="147"/>
      <c r="BD67" s="147"/>
    </row>
    <row r="68" spans="7:56" s="134" customFormat="1" ht="13.15" customHeight="1" x14ac:dyDescent="0.25">
      <c r="G68" s="146"/>
      <c r="M68" s="167"/>
      <c r="N68" s="167"/>
      <c r="O68" s="167"/>
      <c r="P68" s="169"/>
      <c r="S68" s="69"/>
      <c r="U68" s="69"/>
      <c r="X68" s="69"/>
      <c r="Z68" s="69"/>
      <c r="AE68" s="69"/>
      <c r="AG68" s="69"/>
      <c r="AJ68" s="69"/>
      <c r="AL68" s="69"/>
      <c r="AQ68" s="69"/>
      <c r="AS68" s="69"/>
      <c r="AV68" s="69"/>
      <c r="AX68" s="69"/>
      <c r="BC68" s="147"/>
      <c r="BD68" s="147"/>
    </row>
    <row r="69" spans="7:56" s="134" customFormat="1" ht="13.15" customHeight="1" x14ac:dyDescent="0.25">
      <c r="G69" s="146"/>
      <c r="M69" s="167"/>
      <c r="N69" s="167"/>
      <c r="O69" s="167"/>
      <c r="P69" s="169"/>
      <c r="S69" s="69"/>
      <c r="U69" s="69"/>
      <c r="X69" s="69"/>
      <c r="Z69" s="69"/>
      <c r="AE69" s="69"/>
      <c r="AG69" s="69"/>
      <c r="AJ69" s="69"/>
      <c r="AL69" s="69"/>
      <c r="AQ69" s="69"/>
      <c r="AS69" s="69"/>
      <c r="AV69" s="69"/>
      <c r="AX69" s="69"/>
      <c r="BC69" s="147"/>
      <c r="BD69" s="147"/>
    </row>
    <row r="70" spans="7:56" s="134" customFormat="1" ht="13.15" customHeight="1" x14ac:dyDescent="0.25">
      <c r="G70" s="146"/>
      <c r="M70" s="167"/>
      <c r="N70" s="167"/>
      <c r="O70" s="167"/>
      <c r="P70" s="169"/>
      <c r="S70" s="69"/>
      <c r="U70" s="69"/>
      <c r="X70" s="69"/>
      <c r="Z70" s="69"/>
      <c r="AE70" s="69"/>
      <c r="AG70" s="69"/>
      <c r="AJ70" s="69"/>
      <c r="AL70" s="69"/>
      <c r="AQ70" s="69"/>
      <c r="AS70" s="69"/>
      <c r="AV70" s="69"/>
      <c r="AX70" s="69"/>
      <c r="BC70" s="147"/>
      <c r="BD70" s="147"/>
    </row>
    <row r="71" spans="7:56" s="134" customFormat="1" ht="13.15" customHeight="1" x14ac:dyDescent="0.25">
      <c r="G71" s="146"/>
      <c r="M71" s="167"/>
      <c r="N71" s="167"/>
      <c r="O71" s="167"/>
      <c r="P71" s="169"/>
      <c r="S71" s="69"/>
      <c r="U71" s="69"/>
      <c r="X71" s="69"/>
      <c r="Z71" s="69"/>
      <c r="AE71" s="69"/>
      <c r="AG71" s="69"/>
      <c r="AJ71" s="69"/>
      <c r="AL71" s="69"/>
      <c r="AQ71" s="69"/>
      <c r="AS71" s="69"/>
      <c r="AV71" s="69"/>
      <c r="AX71" s="69"/>
      <c r="BC71" s="147"/>
      <c r="BD71" s="147"/>
    </row>
    <row r="72" spans="7:56" s="134" customFormat="1" ht="13.15" customHeight="1" x14ac:dyDescent="0.25">
      <c r="G72" s="146"/>
      <c r="M72" s="167"/>
      <c r="N72" s="167"/>
      <c r="O72" s="167"/>
      <c r="P72" s="169"/>
      <c r="S72" s="69"/>
      <c r="U72" s="69"/>
      <c r="X72" s="69"/>
      <c r="Z72" s="69"/>
      <c r="AE72" s="69"/>
      <c r="AG72" s="69"/>
      <c r="AJ72" s="69"/>
      <c r="AL72" s="69"/>
      <c r="AQ72" s="69"/>
      <c r="AS72" s="69"/>
      <c r="AV72" s="69"/>
      <c r="AX72" s="69"/>
      <c r="BC72" s="147"/>
      <c r="BD72" s="147"/>
    </row>
    <row r="73" spans="7:56" s="134" customFormat="1" ht="13.15" customHeight="1" x14ac:dyDescent="0.25">
      <c r="G73" s="146"/>
      <c r="M73" s="167"/>
      <c r="N73" s="167"/>
      <c r="O73" s="167"/>
      <c r="P73" s="169"/>
      <c r="S73" s="69"/>
      <c r="U73" s="69"/>
      <c r="X73" s="69"/>
      <c r="Z73" s="69"/>
      <c r="AE73" s="69"/>
      <c r="AG73" s="69"/>
      <c r="AJ73" s="69"/>
      <c r="AL73" s="69"/>
      <c r="AQ73" s="69"/>
      <c r="AS73" s="69"/>
      <c r="AV73" s="69"/>
      <c r="AX73" s="69"/>
      <c r="BC73" s="147"/>
      <c r="BD73" s="147"/>
    </row>
    <row r="74" spans="7:56" s="134" customFormat="1" ht="13.15" customHeight="1" x14ac:dyDescent="0.25">
      <c r="G74" s="146"/>
      <c r="M74" s="167"/>
      <c r="N74" s="167"/>
      <c r="O74" s="167"/>
      <c r="P74" s="169"/>
      <c r="S74" s="69"/>
      <c r="U74" s="69"/>
      <c r="X74" s="69"/>
      <c r="Z74" s="69"/>
      <c r="AE74" s="69"/>
      <c r="AG74" s="69"/>
      <c r="AJ74" s="69"/>
      <c r="AL74" s="69"/>
      <c r="AQ74" s="69"/>
      <c r="AS74" s="69"/>
      <c r="AV74" s="69"/>
      <c r="AX74" s="69"/>
      <c r="BC74" s="147"/>
      <c r="BD74" s="147"/>
    </row>
    <row r="75" spans="7:56" s="134" customFormat="1" ht="13.15" customHeight="1" x14ac:dyDescent="0.25">
      <c r="G75" s="146"/>
      <c r="M75" s="167"/>
      <c r="N75" s="167"/>
      <c r="O75" s="167"/>
      <c r="P75" s="169"/>
      <c r="S75" s="69"/>
      <c r="U75" s="69"/>
      <c r="X75" s="69"/>
      <c r="Z75" s="69"/>
      <c r="AE75" s="69"/>
      <c r="AG75" s="69"/>
      <c r="AJ75" s="69"/>
      <c r="AL75" s="69"/>
      <c r="AQ75" s="69"/>
      <c r="AS75" s="69"/>
      <c r="AV75" s="69"/>
      <c r="AX75" s="69"/>
      <c r="BC75" s="147"/>
      <c r="BD75" s="147"/>
    </row>
    <row r="76" spans="7:56" s="134" customFormat="1" ht="13.15" customHeight="1" x14ac:dyDescent="0.25">
      <c r="G76" s="146"/>
      <c r="M76" s="167"/>
      <c r="N76" s="167"/>
      <c r="O76" s="167"/>
      <c r="P76" s="169"/>
      <c r="S76" s="69"/>
      <c r="U76" s="69"/>
      <c r="X76" s="69"/>
      <c r="Z76" s="69"/>
      <c r="AE76" s="69"/>
      <c r="AG76" s="69"/>
      <c r="AJ76" s="69"/>
      <c r="AL76" s="69"/>
      <c r="AQ76" s="69"/>
      <c r="AS76" s="69"/>
      <c r="AV76" s="69"/>
      <c r="AX76" s="69"/>
      <c r="BC76" s="147"/>
      <c r="BD76" s="147"/>
    </row>
    <row r="77" spans="7:56" s="134" customFormat="1" ht="13.15" customHeight="1" x14ac:dyDescent="0.25">
      <c r="G77" s="146"/>
      <c r="M77" s="167"/>
      <c r="N77" s="167"/>
      <c r="O77" s="167"/>
      <c r="P77" s="169"/>
      <c r="S77" s="69"/>
      <c r="U77" s="69"/>
      <c r="X77" s="69"/>
      <c r="Z77" s="69"/>
      <c r="AE77" s="69"/>
      <c r="AG77" s="69"/>
      <c r="AJ77" s="69"/>
      <c r="AL77" s="69"/>
      <c r="AQ77" s="69"/>
      <c r="AS77" s="69"/>
      <c r="AV77" s="69"/>
      <c r="AX77" s="69"/>
      <c r="BC77" s="147"/>
      <c r="BD77" s="147"/>
    </row>
    <row r="78" spans="7:56" s="134" customFormat="1" ht="13.15" customHeight="1" x14ac:dyDescent="0.25">
      <c r="G78" s="146"/>
      <c r="M78" s="167"/>
      <c r="N78" s="167"/>
      <c r="O78" s="167"/>
      <c r="P78" s="169"/>
      <c r="S78" s="69"/>
      <c r="U78" s="69"/>
      <c r="X78" s="69"/>
      <c r="Z78" s="69"/>
      <c r="AE78" s="69"/>
      <c r="AG78" s="69"/>
      <c r="AJ78" s="69"/>
      <c r="AL78" s="69"/>
      <c r="AQ78" s="69"/>
      <c r="AS78" s="69"/>
      <c r="AV78" s="69"/>
      <c r="AX78" s="69"/>
      <c r="BC78" s="147"/>
      <c r="BD78" s="147"/>
    </row>
    <row r="79" spans="7:56" s="134" customFormat="1" ht="13.15" customHeight="1" x14ac:dyDescent="0.25">
      <c r="G79" s="146"/>
      <c r="M79" s="167"/>
      <c r="N79" s="167"/>
      <c r="O79" s="167"/>
      <c r="P79" s="169"/>
      <c r="S79" s="69"/>
      <c r="U79" s="69"/>
      <c r="X79" s="69"/>
      <c r="Z79" s="69"/>
      <c r="AE79" s="69"/>
      <c r="AG79" s="69"/>
      <c r="AJ79" s="69"/>
      <c r="AL79" s="69"/>
      <c r="AQ79" s="69"/>
      <c r="AS79" s="69"/>
      <c r="AV79" s="69"/>
      <c r="AX79" s="69"/>
      <c r="BC79" s="147"/>
      <c r="BD79" s="147"/>
    </row>
    <row r="80" spans="7:56" s="134" customFormat="1" ht="13.15" customHeight="1" x14ac:dyDescent="0.25">
      <c r="G80" s="146"/>
      <c r="M80" s="167"/>
      <c r="N80" s="167"/>
      <c r="O80" s="167"/>
      <c r="P80" s="169"/>
      <c r="S80" s="69"/>
      <c r="U80" s="69"/>
      <c r="X80" s="69"/>
      <c r="Z80" s="69"/>
      <c r="AE80" s="69"/>
      <c r="AG80" s="69"/>
      <c r="AJ80" s="69"/>
      <c r="AL80" s="69"/>
      <c r="AQ80" s="69"/>
      <c r="AS80" s="69"/>
      <c r="AV80" s="69"/>
      <c r="AX80" s="69"/>
      <c r="BC80" s="147"/>
      <c r="BD80" s="147"/>
    </row>
    <row r="81" spans="7:56" s="134" customFormat="1" ht="13.15" customHeight="1" x14ac:dyDescent="0.25">
      <c r="G81" s="146"/>
      <c r="M81" s="167"/>
      <c r="N81" s="167"/>
      <c r="O81" s="167"/>
      <c r="P81" s="169"/>
      <c r="S81" s="69"/>
      <c r="U81" s="69"/>
      <c r="X81" s="69"/>
      <c r="Z81" s="69"/>
      <c r="AE81" s="69"/>
      <c r="AG81" s="69"/>
      <c r="AJ81" s="69"/>
      <c r="AL81" s="69"/>
      <c r="AQ81" s="69"/>
      <c r="AS81" s="69"/>
      <c r="AV81" s="69"/>
      <c r="AX81" s="69"/>
      <c r="BC81" s="147"/>
      <c r="BD81" s="147"/>
    </row>
    <row r="82" spans="7:56" s="134" customFormat="1" ht="13.15" customHeight="1" x14ac:dyDescent="0.25">
      <c r="G82" s="146"/>
      <c r="M82" s="167"/>
      <c r="N82" s="167"/>
      <c r="O82" s="167"/>
      <c r="P82" s="169"/>
      <c r="S82" s="69"/>
      <c r="U82" s="69"/>
      <c r="X82" s="69"/>
      <c r="Z82" s="69"/>
      <c r="AE82" s="69"/>
      <c r="AG82" s="69"/>
      <c r="AJ82" s="69"/>
      <c r="AL82" s="69"/>
      <c r="AQ82" s="69"/>
      <c r="AS82" s="69"/>
      <c r="AV82" s="69"/>
      <c r="AX82" s="69"/>
      <c r="BC82" s="147"/>
      <c r="BD82" s="147"/>
    </row>
    <row r="83" spans="7:56" s="134" customFormat="1" ht="13.15" customHeight="1" x14ac:dyDescent="0.25">
      <c r="G83" s="146"/>
      <c r="M83" s="167"/>
      <c r="N83" s="167"/>
      <c r="O83" s="167"/>
      <c r="P83" s="169"/>
      <c r="S83" s="69"/>
      <c r="U83" s="69"/>
      <c r="X83" s="69"/>
      <c r="Z83" s="69"/>
      <c r="AE83" s="69"/>
      <c r="AG83" s="69"/>
      <c r="AJ83" s="69"/>
      <c r="AL83" s="69"/>
      <c r="AQ83" s="69"/>
      <c r="AS83" s="69"/>
      <c r="AV83" s="69"/>
      <c r="AX83" s="69"/>
      <c r="BC83" s="147"/>
      <c r="BD83" s="147"/>
    </row>
    <row r="84" spans="7:56" s="134" customFormat="1" ht="13.15" customHeight="1" x14ac:dyDescent="0.25">
      <c r="G84" s="146"/>
      <c r="M84" s="167"/>
      <c r="N84" s="167"/>
      <c r="O84" s="167"/>
      <c r="P84" s="169"/>
      <c r="S84" s="69"/>
      <c r="U84" s="69"/>
      <c r="X84" s="69"/>
      <c r="Z84" s="69"/>
      <c r="AE84" s="69"/>
      <c r="AG84" s="69"/>
      <c r="AJ84" s="69"/>
      <c r="AL84" s="69"/>
      <c r="AQ84" s="69"/>
      <c r="AS84" s="69"/>
      <c r="AV84" s="69"/>
      <c r="AX84" s="69"/>
      <c r="BC84" s="147"/>
      <c r="BD84" s="147"/>
    </row>
    <row r="85" spans="7:56" s="134" customFormat="1" ht="13.15" customHeight="1" x14ac:dyDescent="0.25">
      <c r="G85" s="146"/>
      <c r="M85" s="167"/>
      <c r="N85" s="167"/>
      <c r="O85" s="167"/>
      <c r="P85" s="169"/>
      <c r="S85" s="69"/>
      <c r="U85" s="69"/>
      <c r="X85" s="69"/>
      <c r="Z85" s="69"/>
      <c r="AE85" s="69"/>
      <c r="AG85" s="69"/>
      <c r="AJ85" s="69"/>
      <c r="AL85" s="69"/>
      <c r="AQ85" s="69"/>
      <c r="AS85" s="69"/>
      <c r="AV85" s="69"/>
      <c r="AX85" s="69"/>
      <c r="BC85" s="147"/>
      <c r="BD85" s="147"/>
    </row>
    <row r="86" spans="7:56" s="134" customFormat="1" ht="13.15" customHeight="1" x14ac:dyDescent="0.25">
      <c r="G86" s="146"/>
      <c r="M86" s="167"/>
      <c r="N86" s="167"/>
      <c r="O86" s="167"/>
      <c r="P86" s="169"/>
      <c r="S86" s="69"/>
      <c r="U86" s="69"/>
      <c r="X86" s="69"/>
      <c r="Z86" s="69"/>
      <c r="AE86" s="69"/>
      <c r="AG86" s="69"/>
      <c r="AJ86" s="69"/>
      <c r="AL86" s="69"/>
      <c r="AQ86" s="69"/>
      <c r="AS86" s="69"/>
      <c r="AV86" s="69"/>
      <c r="AX86" s="69"/>
      <c r="BC86" s="147"/>
      <c r="BD86" s="147"/>
    </row>
    <row r="87" spans="7:56" s="134" customFormat="1" ht="13.15" customHeight="1" x14ac:dyDescent="0.25">
      <c r="G87" s="146"/>
      <c r="M87" s="167"/>
      <c r="N87" s="167"/>
      <c r="O87" s="167"/>
      <c r="P87" s="169"/>
      <c r="S87" s="69"/>
      <c r="U87" s="69"/>
      <c r="X87" s="69"/>
      <c r="Z87" s="69"/>
      <c r="AE87" s="69"/>
      <c r="AG87" s="69"/>
      <c r="AJ87" s="69"/>
      <c r="AL87" s="69"/>
      <c r="AQ87" s="69"/>
      <c r="AS87" s="69"/>
      <c r="AV87" s="69"/>
      <c r="AX87" s="69"/>
      <c r="BC87" s="147"/>
      <c r="BD87" s="147"/>
    </row>
    <row r="88" spans="7:56" s="134" customFormat="1" ht="13.15" customHeight="1" x14ac:dyDescent="0.25">
      <c r="G88" s="146"/>
      <c r="M88" s="167"/>
      <c r="N88" s="167"/>
      <c r="O88" s="167"/>
      <c r="P88" s="169"/>
      <c r="S88" s="69"/>
      <c r="U88" s="69"/>
      <c r="X88" s="69"/>
      <c r="Z88" s="69"/>
      <c r="AE88" s="69"/>
      <c r="AG88" s="69"/>
      <c r="AJ88" s="69"/>
      <c r="AL88" s="69"/>
      <c r="AQ88" s="69"/>
      <c r="AS88" s="69"/>
      <c r="AV88" s="69"/>
      <c r="AX88" s="69"/>
      <c r="BC88" s="147"/>
      <c r="BD88" s="147"/>
    </row>
    <row r="89" spans="7:56" s="134" customFormat="1" ht="13.15" customHeight="1" x14ac:dyDescent="0.25">
      <c r="G89" s="146"/>
      <c r="M89" s="167"/>
      <c r="N89" s="167"/>
      <c r="O89" s="167"/>
      <c r="P89" s="169"/>
      <c r="S89" s="69"/>
      <c r="U89" s="69"/>
      <c r="X89" s="69"/>
      <c r="Z89" s="69"/>
      <c r="AE89" s="69"/>
      <c r="AG89" s="69"/>
      <c r="AJ89" s="69"/>
      <c r="AL89" s="69"/>
      <c r="AQ89" s="69"/>
      <c r="AS89" s="69"/>
      <c r="AV89" s="69"/>
      <c r="AX89" s="69"/>
      <c r="BC89" s="147"/>
      <c r="BD89" s="147"/>
    </row>
    <row r="90" spans="7:56" s="134" customFormat="1" ht="13.15" customHeight="1" x14ac:dyDescent="0.25">
      <c r="G90" s="146"/>
      <c r="M90" s="167"/>
      <c r="N90" s="167"/>
      <c r="O90" s="167"/>
      <c r="P90" s="169"/>
      <c r="S90" s="69"/>
      <c r="U90" s="69"/>
      <c r="X90" s="69"/>
      <c r="Z90" s="69"/>
      <c r="AE90" s="69"/>
      <c r="AG90" s="69"/>
      <c r="AJ90" s="69"/>
      <c r="AL90" s="69"/>
      <c r="AQ90" s="69"/>
      <c r="AS90" s="69"/>
      <c r="AV90" s="69"/>
      <c r="AX90" s="69"/>
      <c r="BC90" s="147"/>
      <c r="BD90" s="147"/>
    </row>
    <row r="91" spans="7:56" s="134" customFormat="1" ht="13.15" customHeight="1" x14ac:dyDescent="0.25">
      <c r="G91" s="146"/>
      <c r="M91" s="167"/>
      <c r="N91" s="167"/>
      <c r="O91" s="167"/>
      <c r="P91" s="169"/>
      <c r="S91" s="69"/>
      <c r="U91" s="69"/>
      <c r="X91" s="69"/>
      <c r="Z91" s="69"/>
      <c r="AE91" s="69"/>
      <c r="AG91" s="69"/>
      <c r="AJ91" s="69"/>
      <c r="AL91" s="69"/>
      <c r="AQ91" s="69"/>
      <c r="AS91" s="69"/>
      <c r="AV91" s="69"/>
      <c r="AX91" s="69"/>
      <c r="BC91" s="147"/>
      <c r="BD91" s="147"/>
    </row>
    <row r="92" spans="7:56" s="134" customFormat="1" ht="13.15" customHeight="1" x14ac:dyDescent="0.25">
      <c r="G92" s="146"/>
      <c r="M92" s="167"/>
      <c r="N92" s="167"/>
      <c r="O92" s="167"/>
      <c r="P92" s="169"/>
      <c r="S92" s="69"/>
      <c r="U92" s="69"/>
      <c r="X92" s="69"/>
      <c r="Z92" s="69"/>
      <c r="AE92" s="69"/>
      <c r="AG92" s="69"/>
      <c r="AJ92" s="69"/>
      <c r="AL92" s="69"/>
      <c r="AQ92" s="69"/>
      <c r="AS92" s="69"/>
      <c r="AV92" s="69"/>
      <c r="AX92" s="69"/>
      <c r="BC92" s="147"/>
      <c r="BD92" s="147"/>
    </row>
    <row r="93" spans="7:56" s="134" customFormat="1" ht="13.15" customHeight="1" x14ac:dyDescent="0.25">
      <c r="G93" s="146"/>
      <c r="M93" s="167"/>
      <c r="N93" s="167"/>
      <c r="O93" s="167"/>
      <c r="P93" s="169"/>
      <c r="S93" s="69"/>
      <c r="U93" s="69"/>
      <c r="X93" s="69"/>
      <c r="Z93" s="69"/>
      <c r="AE93" s="69"/>
      <c r="AG93" s="69"/>
      <c r="AJ93" s="69"/>
      <c r="AL93" s="69"/>
      <c r="AQ93" s="69"/>
      <c r="AS93" s="69"/>
      <c r="AV93" s="69"/>
      <c r="AX93" s="69"/>
      <c r="BC93" s="147"/>
      <c r="BD93" s="147"/>
    </row>
    <row r="94" spans="7:56" s="134" customFormat="1" ht="13.15" customHeight="1" x14ac:dyDescent="0.25">
      <c r="G94" s="146"/>
      <c r="M94" s="167"/>
      <c r="N94" s="167"/>
      <c r="O94" s="167"/>
      <c r="P94" s="169"/>
      <c r="S94" s="69"/>
      <c r="U94" s="69"/>
      <c r="X94" s="69"/>
      <c r="Z94" s="69"/>
      <c r="AE94" s="69"/>
      <c r="AG94" s="69"/>
      <c r="AJ94" s="69"/>
      <c r="AL94" s="69"/>
      <c r="AQ94" s="69"/>
      <c r="AS94" s="69"/>
      <c r="AV94" s="69"/>
      <c r="AX94" s="69"/>
      <c r="BC94" s="147"/>
      <c r="BD94" s="147"/>
    </row>
    <row r="95" spans="7:56" s="134" customFormat="1" ht="13.15" customHeight="1" x14ac:dyDescent="0.25">
      <c r="G95" s="146"/>
      <c r="M95" s="167"/>
      <c r="N95" s="167"/>
      <c r="O95" s="167"/>
      <c r="P95" s="169"/>
      <c r="S95" s="69"/>
      <c r="U95" s="69"/>
      <c r="X95" s="69"/>
      <c r="Z95" s="69"/>
      <c r="AE95" s="69"/>
      <c r="AG95" s="69"/>
      <c r="AJ95" s="69"/>
      <c r="AL95" s="69"/>
      <c r="AQ95" s="69"/>
      <c r="AS95" s="69"/>
      <c r="AV95" s="69"/>
      <c r="AX95" s="69"/>
      <c r="BC95" s="147"/>
      <c r="BD95" s="147"/>
    </row>
    <row r="96" spans="7:56" s="134" customFormat="1" ht="13.15" customHeight="1" x14ac:dyDescent="0.25">
      <c r="G96" s="146"/>
      <c r="M96" s="167"/>
      <c r="N96" s="167"/>
      <c r="O96" s="167"/>
      <c r="P96" s="169"/>
      <c r="S96" s="69"/>
      <c r="U96" s="69"/>
      <c r="X96" s="69"/>
      <c r="Z96" s="69"/>
      <c r="AE96" s="69"/>
      <c r="AG96" s="69"/>
      <c r="AJ96" s="69"/>
      <c r="AL96" s="69"/>
      <c r="AQ96" s="69"/>
      <c r="AS96" s="69"/>
      <c r="AV96" s="69"/>
      <c r="AX96" s="69"/>
      <c r="BC96" s="147"/>
      <c r="BD96" s="147"/>
    </row>
    <row r="97" spans="7:56" s="134" customFormat="1" ht="13.15" customHeight="1" x14ac:dyDescent="0.25">
      <c r="G97" s="146"/>
      <c r="M97" s="167"/>
      <c r="N97" s="167"/>
      <c r="O97" s="167"/>
      <c r="P97" s="169"/>
      <c r="S97" s="69"/>
      <c r="U97" s="69"/>
      <c r="X97" s="69"/>
      <c r="Z97" s="69"/>
      <c r="AE97" s="69"/>
      <c r="AG97" s="69"/>
      <c r="AJ97" s="69"/>
      <c r="AL97" s="69"/>
      <c r="AQ97" s="69"/>
      <c r="AS97" s="69"/>
      <c r="AV97" s="69"/>
      <c r="AX97" s="69"/>
      <c r="BC97" s="147"/>
      <c r="BD97" s="147"/>
    </row>
    <row r="98" spans="7:56" s="134" customFormat="1" ht="13.15" customHeight="1" x14ac:dyDescent="0.25">
      <c r="G98" s="146"/>
      <c r="M98" s="167"/>
      <c r="N98" s="167"/>
      <c r="O98" s="167"/>
      <c r="P98" s="169"/>
      <c r="S98" s="69"/>
      <c r="U98" s="69"/>
      <c r="X98" s="69"/>
      <c r="Z98" s="69"/>
      <c r="AE98" s="69"/>
      <c r="AG98" s="69"/>
      <c r="AJ98" s="69"/>
      <c r="AL98" s="69"/>
      <c r="AQ98" s="69"/>
      <c r="AS98" s="69"/>
      <c r="AV98" s="69"/>
      <c r="AX98" s="69"/>
      <c r="BC98" s="147"/>
      <c r="BD98" s="147"/>
    </row>
    <row r="99" spans="7:56" s="134" customFormat="1" ht="13.15" customHeight="1" x14ac:dyDescent="0.25">
      <c r="G99" s="146"/>
      <c r="M99" s="167"/>
      <c r="N99" s="167"/>
      <c r="O99" s="167"/>
      <c r="P99" s="169"/>
      <c r="S99" s="69"/>
      <c r="U99" s="69"/>
      <c r="X99" s="69"/>
      <c r="Z99" s="69"/>
      <c r="AE99" s="69"/>
      <c r="AG99" s="69"/>
      <c r="AJ99" s="69"/>
      <c r="AL99" s="69"/>
      <c r="AQ99" s="69"/>
      <c r="AS99" s="69"/>
      <c r="AV99" s="69"/>
      <c r="AX99" s="69"/>
      <c r="BC99" s="147"/>
      <c r="BD99" s="147"/>
    </row>
    <row r="100" spans="7:56" s="134" customFormat="1" ht="13.15" customHeight="1" x14ac:dyDescent="0.25">
      <c r="G100" s="146"/>
      <c r="M100" s="167"/>
      <c r="N100" s="167"/>
      <c r="O100" s="167"/>
      <c r="P100" s="169"/>
      <c r="S100" s="69"/>
      <c r="U100" s="69"/>
      <c r="X100" s="69"/>
      <c r="Z100" s="69"/>
      <c r="AE100" s="69"/>
      <c r="AG100" s="69"/>
      <c r="AJ100" s="69"/>
      <c r="AL100" s="69"/>
      <c r="AQ100" s="69"/>
      <c r="AS100" s="69"/>
      <c r="AV100" s="69"/>
      <c r="AX100" s="69"/>
      <c r="BC100" s="147"/>
      <c r="BD100" s="147"/>
    </row>
    <row r="101" spans="7:56" s="134" customFormat="1" ht="13.15" customHeight="1" x14ac:dyDescent="0.25">
      <c r="G101" s="146"/>
      <c r="M101" s="167"/>
      <c r="N101" s="167"/>
      <c r="O101" s="167"/>
      <c r="P101" s="169"/>
      <c r="S101" s="69"/>
      <c r="U101" s="69"/>
      <c r="X101" s="69"/>
      <c r="Z101" s="69"/>
      <c r="AE101" s="69"/>
      <c r="AG101" s="69"/>
      <c r="AJ101" s="69"/>
      <c r="AL101" s="69"/>
      <c r="AQ101" s="69"/>
      <c r="AS101" s="69"/>
      <c r="AV101" s="69"/>
      <c r="AX101" s="69"/>
      <c r="BC101" s="147"/>
      <c r="BD101" s="147"/>
    </row>
    <row r="102" spans="7:56" s="134" customFormat="1" ht="13.15" customHeight="1" x14ac:dyDescent="0.25">
      <c r="G102" s="146"/>
      <c r="M102" s="167"/>
      <c r="N102" s="167"/>
      <c r="O102" s="167"/>
      <c r="P102" s="169"/>
      <c r="S102" s="69"/>
      <c r="U102" s="69"/>
      <c r="X102" s="69"/>
      <c r="Z102" s="69"/>
      <c r="AE102" s="69"/>
      <c r="AG102" s="69"/>
      <c r="AJ102" s="69"/>
      <c r="AL102" s="69"/>
      <c r="AQ102" s="69"/>
      <c r="AS102" s="69"/>
      <c r="AV102" s="69"/>
      <c r="AX102" s="69"/>
      <c r="BC102" s="147"/>
      <c r="BD102" s="147"/>
    </row>
    <row r="103" spans="7:56" s="134" customFormat="1" ht="13.15" customHeight="1" x14ac:dyDescent="0.25">
      <c r="G103" s="146"/>
      <c r="M103" s="167"/>
      <c r="N103" s="167"/>
      <c r="O103" s="167"/>
      <c r="P103" s="169"/>
      <c r="S103" s="69"/>
      <c r="U103" s="69"/>
      <c r="X103" s="69"/>
      <c r="Z103" s="69"/>
      <c r="AE103" s="69"/>
      <c r="AG103" s="69"/>
      <c r="AJ103" s="69"/>
      <c r="AL103" s="69"/>
      <c r="AQ103" s="69"/>
      <c r="AS103" s="69"/>
      <c r="AV103" s="69"/>
      <c r="AX103" s="69"/>
      <c r="BC103" s="147"/>
      <c r="BD103" s="147"/>
    </row>
    <row r="104" spans="7:56" s="134" customFormat="1" ht="13.15" customHeight="1" x14ac:dyDescent="0.25">
      <c r="G104" s="146"/>
      <c r="M104" s="167"/>
      <c r="N104" s="167"/>
      <c r="O104" s="167"/>
      <c r="P104" s="169"/>
      <c r="S104" s="69"/>
      <c r="U104" s="69"/>
      <c r="X104" s="69"/>
      <c r="Z104" s="69"/>
      <c r="AE104" s="69"/>
      <c r="AG104" s="69"/>
      <c r="AJ104" s="69"/>
      <c r="AL104" s="69"/>
      <c r="AQ104" s="69"/>
      <c r="AS104" s="69"/>
      <c r="AV104" s="69"/>
      <c r="AX104" s="69"/>
      <c r="BC104" s="147"/>
      <c r="BD104" s="147"/>
    </row>
    <row r="105" spans="7:56" s="134" customFormat="1" ht="13.15" customHeight="1" x14ac:dyDescent="0.25">
      <c r="G105" s="146"/>
      <c r="M105" s="167"/>
      <c r="N105" s="167"/>
      <c r="O105" s="167"/>
      <c r="P105" s="169"/>
      <c r="S105" s="69"/>
      <c r="U105" s="69"/>
      <c r="X105" s="69"/>
      <c r="Z105" s="69"/>
      <c r="AE105" s="69"/>
      <c r="AG105" s="69"/>
      <c r="AJ105" s="69"/>
      <c r="AL105" s="69"/>
      <c r="AQ105" s="69"/>
      <c r="AS105" s="69"/>
      <c r="AV105" s="69"/>
      <c r="AX105" s="69"/>
      <c r="BC105" s="147"/>
      <c r="BD105" s="147"/>
    </row>
    <row r="106" spans="7:56" s="134" customFormat="1" ht="13.15" customHeight="1" x14ac:dyDescent="0.25">
      <c r="G106" s="146"/>
      <c r="M106" s="167"/>
      <c r="N106" s="167"/>
      <c r="O106" s="167"/>
      <c r="P106" s="169"/>
      <c r="S106" s="69"/>
      <c r="U106" s="69"/>
      <c r="X106" s="69"/>
      <c r="Z106" s="69"/>
      <c r="AE106" s="69"/>
      <c r="AG106" s="69"/>
      <c r="AJ106" s="69"/>
      <c r="AL106" s="69"/>
      <c r="AQ106" s="69"/>
      <c r="AS106" s="69"/>
      <c r="AV106" s="69"/>
      <c r="AX106" s="69"/>
      <c r="BC106" s="147"/>
      <c r="BD106" s="147"/>
    </row>
    <row r="107" spans="7:56" s="134" customFormat="1" ht="13.15" customHeight="1" x14ac:dyDescent="0.25">
      <c r="G107" s="146"/>
      <c r="M107" s="167"/>
      <c r="N107" s="167"/>
      <c r="O107" s="167"/>
      <c r="P107" s="169"/>
      <c r="S107" s="69"/>
      <c r="U107" s="69"/>
      <c r="X107" s="69"/>
      <c r="Z107" s="69"/>
      <c r="AE107" s="69"/>
      <c r="AG107" s="69"/>
      <c r="AJ107" s="69"/>
      <c r="AL107" s="69"/>
      <c r="AQ107" s="69"/>
      <c r="AS107" s="69"/>
      <c r="AV107" s="69"/>
      <c r="AX107" s="69"/>
      <c r="BC107" s="147"/>
      <c r="BD107" s="147"/>
    </row>
    <row r="108" spans="7:56" s="134" customFormat="1" ht="13.15" customHeight="1" x14ac:dyDescent="0.25">
      <c r="G108" s="146"/>
      <c r="M108" s="167"/>
      <c r="N108" s="167"/>
      <c r="O108" s="167"/>
      <c r="P108" s="169"/>
      <c r="S108" s="69"/>
      <c r="U108" s="69"/>
      <c r="X108" s="69"/>
      <c r="Z108" s="69"/>
      <c r="AE108" s="69"/>
      <c r="AG108" s="69"/>
      <c r="AJ108" s="69"/>
      <c r="AL108" s="69"/>
      <c r="AQ108" s="69"/>
      <c r="AS108" s="69"/>
      <c r="AV108" s="69"/>
      <c r="AX108" s="69"/>
      <c r="BC108" s="147"/>
      <c r="BD108" s="147"/>
    </row>
    <row r="109" spans="7:56" s="134" customFormat="1" ht="13.15" customHeight="1" x14ac:dyDescent="0.25">
      <c r="G109" s="146"/>
      <c r="M109" s="167"/>
      <c r="N109" s="167"/>
      <c r="O109" s="167"/>
      <c r="P109" s="169"/>
      <c r="S109" s="69"/>
      <c r="U109" s="69"/>
      <c r="X109" s="69"/>
      <c r="Z109" s="69"/>
      <c r="AE109" s="69"/>
      <c r="AG109" s="69"/>
      <c r="AJ109" s="69"/>
      <c r="AL109" s="69"/>
      <c r="AQ109" s="69"/>
      <c r="AS109" s="69"/>
      <c r="AV109" s="69"/>
      <c r="AX109" s="69"/>
      <c r="BC109" s="147"/>
      <c r="BD109" s="147"/>
    </row>
    <row r="110" spans="7:56" s="134" customFormat="1" ht="13.15" customHeight="1" x14ac:dyDescent="0.25">
      <c r="G110" s="146"/>
      <c r="M110" s="167"/>
      <c r="N110" s="167"/>
      <c r="O110" s="167"/>
      <c r="P110" s="169"/>
      <c r="S110" s="69"/>
      <c r="U110" s="69"/>
      <c r="X110" s="69"/>
      <c r="Z110" s="69"/>
      <c r="AE110" s="69"/>
      <c r="AG110" s="69"/>
      <c r="AJ110" s="69"/>
      <c r="AL110" s="69"/>
      <c r="AQ110" s="69"/>
      <c r="AS110" s="69"/>
      <c r="AV110" s="69"/>
      <c r="AX110" s="69"/>
      <c r="BC110" s="147"/>
      <c r="BD110" s="147"/>
    </row>
    <row r="111" spans="7:56" s="134" customFormat="1" ht="13.15" customHeight="1" x14ac:dyDescent="0.25">
      <c r="G111" s="146"/>
      <c r="M111" s="167"/>
      <c r="N111" s="167"/>
      <c r="O111" s="167"/>
      <c r="P111" s="169"/>
      <c r="S111" s="69"/>
      <c r="U111" s="69"/>
      <c r="X111" s="69"/>
      <c r="Z111" s="69"/>
      <c r="AE111" s="69"/>
      <c r="AG111" s="69"/>
      <c r="AJ111" s="69"/>
      <c r="AL111" s="69"/>
      <c r="AQ111" s="69"/>
      <c r="AS111" s="69"/>
      <c r="AV111" s="69"/>
      <c r="AX111" s="69"/>
      <c r="BC111" s="147"/>
      <c r="BD111" s="147"/>
    </row>
    <row r="112" spans="7:56" s="134" customFormat="1" ht="13.15" customHeight="1" x14ac:dyDescent="0.25">
      <c r="G112" s="146"/>
      <c r="M112" s="167"/>
      <c r="N112" s="167"/>
      <c r="O112" s="167"/>
      <c r="P112" s="169"/>
      <c r="S112" s="69"/>
      <c r="U112" s="69"/>
      <c r="X112" s="69"/>
      <c r="Z112" s="69"/>
      <c r="AE112" s="69"/>
      <c r="AG112" s="69"/>
      <c r="AJ112" s="69"/>
      <c r="AL112" s="69"/>
      <c r="AQ112" s="69"/>
      <c r="AS112" s="69"/>
      <c r="AV112" s="69"/>
      <c r="AX112" s="69"/>
      <c r="BC112" s="147"/>
      <c r="BD112" s="147"/>
    </row>
    <row r="113" spans="7:56" s="134" customFormat="1" ht="13.15" customHeight="1" x14ac:dyDescent="0.25">
      <c r="G113" s="146"/>
      <c r="M113" s="167"/>
      <c r="N113" s="167"/>
      <c r="O113" s="167"/>
      <c r="P113" s="169"/>
      <c r="S113" s="69"/>
      <c r="U113" s="69"/>
      <c r="X113" s="69"/>
      <c r="Z113" s="69"/>
      <c r="AE113" s="69"/>
      <c r="AG113" s="69"/>
      <c r="AJ113" s="69"/>
      <c r="AL113" s="69"/>
      <c r="AQ113" s="69"/>
      <c r="AS113" s="69"/>
      <c r="AV113" s="69"/>
      <c r="AX113" s="69"/>
      <c r="BC113" s="147"/>
      <c r="BD113" s="147"/>
    </row>
    <row r="114" spans="7:56" s="134" customFormat="1" ht="13.15" customHeight="1" x14ac:dyDescent="0.25">
      <c r="G114" s="146"/>
      <c r="M114" s="167"/>
      <c r="N114" s="167"/>
      <c r="O114" s="167"/>
      <c r="P114" s="169"/>
      <c r="S114" s="69"/>
      <c r="U114" s="69"/>
      <c r="X114" s="69"/>
      <c r="Z114" s="69"/>
      <c r="AE114" s="69"/>
      <c r="AG114" s="69"/>
      <c r="AJ114" s="69"/>
      <c r="AL114" s="69"/>
      <c r="AQ114" s="69"/>
      <c r="AS114" s="69"/>
      <c r="AV114" s="69"/>
      <c r="AX114" s="69"/>
      <c r="BC114" s="147"/>
      <c r="BD114" s="147"/>
    </row>
    <row r="115" spans="7:56" s="134" customFormat="1" ht="13.15" customHeight="1" x14ac:dyDescent="0.25">
      <c r="G115" s="146"/>
      <c r="M115" s="167"/>
      <c r="N115" s="167"/>
      <c r="O115" s="167"/>
      <c r="P115" s="169"/>
      <c r="S115" s="69"/>
      <c r="U115" s="69"/>
      <c r="X115" s="69"/>
      <c r="Z115" s="69"/>
      <c r="AE115" s="69"/>
      <c r="AG115" s="69"/>
      <c r="AJ115" s="69"/>
      <c r="AL115" s="69"/>
      <c r="AQ115" s="69"/>
      <c r="AS115" s="69"/>
      <c r="AV115" s="69"/>
      <c r="AX115" s="69"/>
      <c r="BC115" s="147"/>
      <c r="BD115" s="147"/>
    </row>
    <row r="116" spans="7:56" s="134" customFormat="1" ht="13.15" customHeight="1" x14ac:dyDescent="0.25">
      <c r="G116" s="146"/>
      <c r="M116" s="167"/>
      <c r="N116" s="167"/>
      <c r="O116" s="167"/>
      <c r="P116" s="169"/>
      <c r="S116" s="69"/>
      <c r="U116" s="69"/>
      <c r="X116" s="69"/>
      <c r="Z116" s="69"/>
      <c r="AE116" s="69"/>
      <c r="AG116" s="69"/>
      <c r="AJ116" s="69"/>
      <c r="AL116" s="69"/>
      <c r="AQ116" s="69"/>
      <c r="AS116" s="69"/>
      <c r="AV116" s="69"/>
      <c r="AX116" s="69"/>
      <c r="BC116" s="147"/>
      <c r="BD116" s="147"/>
    </row>
    <row r="117" spans="7:56" s="134" customFormat="1" ht="13.15" customHeight="1" x14ac:dyDescent="0.25">
      <c r="G117" s="146"/>
      <c r="M117" s="167"/>
      <c r="N117" s="167"/>
      <c r="O117" s="167"/>
      <c r="P117" s="169"/>
      <c r="S117" s="69"/>
      <c r="U117" s="69"/>
      <c r="X117" s="69"/>
      <c r="Z117" s="69"/>
      <c r="AE117" s="69"/>
      <c r="AG117" s="69"/>
      <c r="AJ117" s="69"/>
      <c r="AL117" s="69"/>
      <c r="AQ117" s="69"/>
      <c r="AS117" s="69"/>
      <c r="AV117" s="69"/>
      <c r="AX117" s="69"/>
      <c r="BC117" s="147"/>
      <c r="BD117" s="147"/>
    </row>
    <row r="118" spans="7:56" s="134" customFormat="1" ht="13.15" customHeight="1" x14ac:dyDescent="0.25">
      <c r="G118" s="146"/>
      <c r="M118" s="167"/>
      <c r="N118" s="167"/>
      <c r="O118" s="167"/>
      <c r="P118" s="169"/>
      <c r="S118" s="69"/>
      <c r="U118" s="69"/>
      <c r="X118" s="69"/>
      <c r="Z118" s="69"/>
      <c r="AE118" s="69"/>
      <c r="AG118" s="69"/>
      <c r="AJ118" s="69"/>
      <c r="AL118" s="69"/>
      <c r="AQ118" s="69"/>
      <c r="AS118" s="69"/>
      <c r="AV118" s="69"/>
      <c r="AX118" s="69"/>
      <c r="BC118" s="147"/>
      <c r="BD118" s="147"/>
    </row>
    <row r="119" spans="7:56" s="134" customFormat="1" ht="13.15" customHeight="1" x14ac:dyDescent="0.25">
      <c r="G119" s="146"/>
      <c r="M119" s="167"/>
      <c r="N119" s="167"/>
      <c r="O119" s="167"/>
      <c r="P119" s="169"/>
      <c r="S119" s="69"/>
      <c r="U119" s="69"/>
      <c r="X119" s="69"/>
      <c r="Z119" s="69"/>
      <c r="AE119" s="69"/>
      <c r="AG119" s="69"/>
      <c r="AJ119" s="69"/>
      <c r="AL119" s="69"/>
      <c r="AQ119" s="69"/>
      <c r="AS119" s="69"/>
      <c r="AV119" s="69"/>
      <c r="AX119" s="69"/>
      <c r="BC119" s="147"/>
      <c r="BD119" s="147"/>
    </row>
    <row r="120" spans="7:56" s="134" customFormat="1" ht="13.15" customHeight="1" x14ac:dyDescent="0.25">
      <c r="G120" s="146"/>
      <c r="M120" s="167"/>
      <c r="N120" s="167"/>
      <c r="O120" s="167"/>
      <c r="P120" s="169"/>
      <c r="S120" s="69"/>
      <c r="U120" s="69"/>
      <c r="X120" s="69"/>
      <c r="Z120" s="69"/>
      <c r="AE120" s="69"/>
      <c r="AG120" s="69"/>
      <c r="AJ120" s="69"/>
      <c r="AL120" s="69"/>
      <c r="AQ120" s="69"/>
      <c r="AS120" s="69"/>
      <c r="AV120" s="69"/>
      <c r="AX120" s="69"/>
      <c r="BC120" s="147"/>
      <c r="BD120" s="147"/>
    </row>
    <row r="121" spans="7:56" s="134" customFormat="1" ht="13.15" customHeight="1" x14ac:dyDescent="0.25">
      <c r="G121" s="146"/>
      <c r="M121" s="167"/>
      <c r="N121" s="167"/>
      <c r="O121" s="167"/>
      <c r="P121" s="169"/>
      <c r="S121" s="69"/>
      <c r="U121" s="69"/>
      <c r="X121" s="69"/>
      <c r="Z121" s="69"/>
      <c r="AE121" s="69"/>
      <c r="AG121" s="69"/>
      <c r="AJ121" s="69"/>
      <c r="AL121" s="69"/>
      <c r="AQ121" s="69"/>
      <c r="AS121" s="69"/>
      <c r="AV121" s="69"/>
      <c r="AX121" s="69"/>
      <c r="BC121" s="147"/>
      <c r="BD121" s="147"/>
    </row>
    <row r="122" spans="7:56" s="134" customFormat="1" ht="13.15" customHeight="1" x14ac:dyDescent="0.25">
      <c r="G122" s="146"/>
      <c r="M122" s="167"/>
      <c r="N122" s="167"/>
      <c r="O122" s="167"/>
      <c r="P122" s="169"/>
      <c r="S122" s="69"/>
      <c r="U122" s="69"/>
      <c r="X122" s="69"/>
      <c r="Z122" s="69"/>
      <c r="AE122" s="69"/>
      <c r="AG122" s="69"/>
      <c r="AJ122" s="69"/>
      <c r="AL122" s="69"/>
      <c r="AQ122" s="69"/>
      <c r="AS122" s="69"/>
      <c r="AV122" s="69"/>
      <c r="AX122" s="69"/>
      <c r="BC122" s="147"/>
      <c r="BD122" s="147"/>
    </row>
    <row r="123" spans="7:56" s="134" customFormat="1" ht="13.15" customHeight="1" x14ac:dyDescent="0.25">
      <c r="G123" s="146"/>
      <c r="M123" s="167"/>
      <c r="N123" s="167"/>
      <c r="O123" s="167"/>
      <c r="P123" s="169"/>
      <c r="S123" s="69"/>
      <c r="U123" s="69"/>
      <c r="X123" s="69"/>
      <c r="Z123" s="69"/>
      <c r="AE123" s="69"/>
      <c r="AG123" s="69"/>
      <c r="AJ123" s="69"/>
      <c r="AL123" s="69"/>
      <c r="AQ123" s="69"/>
      <c r="AS123" s="69"/>
      <c r="AV123" s="69"/>
      <c r="AX123" s="69"/>
      <c r="BC123" s="147"/>
      <c r="BD123" s="147"/>
    </row>
    <row r="124" spans="7:56" s="134" customFormat="1" ht="12.75" customHeight="1" x14ac:dyDescent="0.25">
      <c r="G124" s="146"/>
      <c r="M124" s="167"/>
      <c r="N124" s="167"/>
      <c r="O124" s="167"/>
      <c r="P124" s="169"/>
      <c r="S124" s="69"/>
      <c r="U124" s="69"/>
      <c r="X124" s="69"/>
      <c r="Z124" s="69"/>
      <c r="AE124" s="69"/>
      <c r="AG124" s="69"/>
      <c r="AJ124" s="69"/>
      <c r="AL124" s="69"/>
      <c r="AQ124" s="69"/>
      <c r="AS124" s="69"/>
      <c r="AV124" s="69"/>
      <c r="AX124" s="69"/>
      <c r="BC124" s="147"/>
      <c r="BD124" s="147"/>
    </row>
    <row r="125" spans="7:56" s="134" customFormat="1" ht="13.15" customHeight="1" x14ac:dyDescent="0.25">
      <c r="G125" s="146"/>
      <c r="M125" s="167"/>
      <c r="N125" s="167"/>
      <c r="O125" s="167"/>
      <c r="P125" s="169"/>
      <c r="S125" s="69"/>
      <c r="U125" s="69"/>
      <c r="X125" s="69"/>
      <c r="Z125" s="69"/>
      <c r="AE125" s="69"/>
      <c r="AG125" s="69"/>
      <c r="AJ125" s="69"/>
      <c r="AL125" s="69"/>
      <c r="AQ125" s="69"/>
      <c r="AS125" s="69"/>
      <c r="AV125" s="69"/>
      <c r="AX125" s="69"/>
      <c r="BC125" s="147"/>
      <c r="BD125" s="147"/>
    </row>
    <row r="126" spans="7:56" s="134" customFormat="1" ht="13.15" customHeight="1" x14ac:dyDescent="0.25">
      <c r="G126" s="146"/>
      <c r="M126" s="167"/>
      <c r="N126" s="167"/>
      <c r="O126" s="167"/>
      <c r="P126" s="169"/>
      <c r="S126" s="69"/>
      <c r="U126" s="69"/>
      <c r="X126" s="69"/>
      <c r="Z126" s="69"/>
      <c r="AE126" s="69"/>
      <c r="AG126" s="69"/>
      <c r="AJ126" s="69"/>
      <c r="AL126" s="69"/>
      <c r="AQ126" s="69"/>
      <c r="AS126" s="69"/>
      <c r="AV126" s="69"/>
      <c r="AX126" s="69"/>
      <c r="BC126" s="147"/>
      <c r="BD126" s="147"/>
    </row>
    <row r="127" spans="7:56" s="134" customFormat="1" ht="13.15" customHeight="1" x14ac:dyDescent="0.25">
      <c r="G127" s="146"/>
      <c r="M127" s="167"/>
      <c r="N127" s="167"/>
      <c r="O127" s="167"/>
      <c r="P127" s="169"/>
      <c r="S127" s="69"/>
      <c r="U127" s="69"/>
      <c r="X127" s="69"/>
      <c r="Z127" s="69"/>
      <c r="AE127" s="69"/>
      <c r="AG127" s="69"/>
      <c r="AJ127" s="69"/>
      <c r="AL127" s="69"/>
      <c r="AQ127" s="69"/>
      <c r="AS127" s="69"/>
      <c r="AV127" s="69"/>
      <c r="AX127" s="69"/>
      <c r="BC127" s="147"/>
      <c r="BD127" s="147"/>
    </row>
    <row r="128" spans="7:56" s="134" customFormat="1" ht="15.6" customHeight="1" x14ac:dyDescent="0.25">
      <c r="G128" s="146"/>
      <c r="M128" s="167"/>
      <c r="N128" s="167"/>
      <c r="O128" s="167"/>
      <c r="P128" s="169"/>
      <c r="S128" s="69"/>
      <c r="U128" s="69"/>
      <c r="X128" s="69"/>
      <c r="Z128" s="69"/>
      <c r="AE128" s="69"/>
      <c r="AG128" s="69"/>
      <c r="AJ128" s="69"/>
      <c r="AL128" s="69"/>
      <c r="AQ128" s="69"/>
      <c r="AS128" s="69"/>
      <c r="AV128" s="69"/>
      <c r="AX128" s="69"/>
      <c r="BC128" s="147"/>
      <c r="BD128" s="147"/>
    </row>
    <row r="129" spans="7:56" s="134" customFormat="1" ht="13.15" customHeight="1" x14ac:dyDescent="0.25">
      <c r="G129" s="146"/>
      <c r="M129" s="167"/>
      <c r="N129" s="167"/>
      <c r="O129" s="167"/>
      <c r="P129" s="169"/>
      <c r="S129" s="69"/>
      <c r="U129" s="69"/>
      <c r="X129" s="69"/>
      <c r="Z129" s="69"/>
      <c r="AE129" s="69"/>
      <c r="AG129" s="69"/>
      <c r="AJ129" s="69"/>
      <c r="AL129" s="69"/>
      <c r="AQ129" s="69"/>
      <c r="AS129" s="69"/>
      <c r="AV129" s="69"/>
      <c r="AX129" s="69"/>
      <c r="BC129" s="147"/>
      <c r="BD129" s="147"/>
    </row>
    <row r="130" spans="7:56" s="134" customFormat="1" ht="13.15" customHeight="1" x14ac:dyDescent="0.25">
      <c r="G130" s="146"/>
      <c r="M130" s="167"/>
      <c r="N130" s="167"/>
      <c r="O130" s="167"/>
      <c r="P130" s="169"/>
      <c r="S130" s="69"/>
      <c r="U130" s="69"/>
      <c r="X130" s="69"/>
      <c r="Z130" s="69"/>
      <c r="AE130" s="69"/>
      <c r="AG130" s="69"/>
      <c r="AJ130" s="69"/>
      <c r="AL130" s="69"/>
      <c r="AQ130" s="69"/>
      <c r="AS130" s="69"/>
      <c r="AV130" s="69"/>
      <c r="AX130" s="69"/>
      <c r="BC130" s="147"/>
      <c r="BD130" s="147"/>
    </row>
    <row r="131" spans="7:56" s="134" customFormat="1" ht="13.15" customHeight="1" x14ac:dyDescent="0.25">
      <c r="G131" s="146"/>
      <c r="M131" s="167"/>
      <c r="N131" s="167"/>
      <c r="O131" s="167"/>
      <c r="P131" s="169"/>
      <c r="S131" s="69"/>
      <c r="U131" s="69"/>
      <c r="X131" s="69"/>
      <c r="Z131" s="69"/>
      <c r="AE131" s="69"/>
      <c r="AG131" s="69"/>
      <c r="AJ131" s="69"/>
      <c r="AL131" s="69"/>
      <c r="AQ131" s="69"/>
      <c r="AS131" s="69"/>
      <c r="AV131" s="69"/>
      <c r="AX131" s="69"/>
      <c r="BC131" s="147"/>
      <c r="BD131" s="147"/>
    </row>
    <row r="132" spans="7:56" s="134" customFormat="1" ht="13.15" customHeight="1" x14ac:dyDescent="0.25">
      <c r="G132" s="146"/>
      <c r="M132" s="167"/>
      <c r="N132" s="167"/>
      <c r="O132" s="167"/>
      <c r="P132" s="169"/>
      <c r="S132" s="69"/>
      <c r="U132" s="69"/>
      <c r="X132" s="69"/>
      <c r="Z132" s="69"/>
      <c r="AE132" s="69"/>
      <c r="AG132" s="69"/>
      <c r="AJ132" s="69"/>
      <c r="AL132" s="69"/>
      <c r="AQ132" s="69"/>
      <c r="AS132" s="69"/>
      <c r="AV132" s="69"/>
      <c r="AX132" s="69"/>
      <c r="BC132" s="147"/>
      <c r="BD132" s="147"/>
    </row>
    <row r="133" spans="7:56" s="134" customFormat="1" ht="13.15" customHeight="1" x14ac:dyDescent="0.25">
      <c r="G133" s="146"/>
      <c r="M133" s="167"/>
      <c r="N133" s="167"/>
      <c r="O133" s="167"/>
      <c r="P133" s="169"/>
      <c r="S133" s="69"/>
      <c r="U133" s="69"/>
      <c r="X133" s="69"/>
      <c r="Z133" s="69"/>
      <c r="AE133" s="69"/>
      <c r="AG133" s="69"/>
      <c r="AJ133" s="69"/>
      <c r="AL133" s="69"/>
      <c r="AQ133" s="69"/>
      <c r="AS133" s="69"/>
      <c r="AV133" s="69"/>
      <c r="AX133" s="69"/>
      <c r="BC133" s="147"/>
      <c r="BD133" s="147"/>
    </row>
    <row r="134" spans="7:56" s="134" customFormat="1" ht="13.15" customHeight="1" x14ac:dyDescent="0.25">
      <c r="G134" s="146"/>
      <c r="M134" s="167"/>
      <c r="N134" s="167"/>
      <c r="O134" s="167"/>
      <c r="P134" s="169"/>
      <c r="S134" s="69"/>
      <c r="U134" s="69"/>
      <c r="X134" s="69"/>
      <c r="Z134" s="69"/>
      <c r="AE134" s="69"/>
      <c r="AG134" s="69"/>
      <c r="AJ134" s="69"/>
      <c r="AL134" s="69"/>
      <c r="AQ134" s="69"/>
      <c r="AS134" s="69"/>
      <c r="AV134" s="69"/>
      <c r="AX134" s="69"/>
      <c r="BC134" s="147"/>
      <c r="BD134" s="147"/>
    </row>
    <row r="135" spans="7:56" s="134" customFormat="1" ht="13.15" customHeight="1" x14ac:dyDescent="0.25">
      <c r="G135" s="146"/>
      <c r="M135" s="167"/>
      <c r="N135" s="167"/>
      <c r="O135" s="167"/>
      <c r="P135" s="169"/>
      <c r="S135" s="69"/>
      <c r="U135" s="69"/>
      <c r="X135" s="69"/>
      <c r="Z135" s="69"/>
      <c r="AE135" s="69"/>
      <c r="AG135" s="69"/>
      <c r="AJ135" s="69"/>
      <c r="AL135" s="69"/>
      <c r="AQ135" s="69"/>
      <c r="AS135" s="69"/>
      <c r="AV135" s="69"/>
      <c r="AX135" s="69"/>
      <c r="BC135" s="147"/>
      <c r="BD135" s="147"/>
    </row>
    <row r="136" spans="7:56" s="134" customFormat="1" ht="13.15" customHeight="1" x14ac:dyDescent="0.25">
      <c r="G136" s="146"/>
      <c r="M136" s="167"/>
      <c r="N136" s="167"/>
      <c r="O136" s="167"/>
      <c r="P136" s="169"/>
      <c r="S136" s="69"/>
      <c r="U136" s="69"/>
      <c r="X136" s="69"/>
      <c r="Z136" s="69"/>
      <c r="AE136" s="69"/>
      <c r="AG136" s="69"/>
      <c r="AJ136" s="69"/>
      <c r="AL136" s="69"/>
      <c r="AQ136" s="69"/>
      <c r="AS136" s="69"/>
      <c r="AV136" s="69"/>
      <c r="AX136" s="69"/>
      <c r="BC136" s="147"/>
      <c r="BD136" s="147"/>
    </row>
    <row r="137" spans="7:56" s="134" customFormat="1" ht="13.15" customHeight="1" x14ac:dyDescent="0.25">
      <c r="G137" s="146"/>
      <c r="M137" s="167"/>
      <c r="N137" s="167"/>
      <c r="O137" s="167"/>
      <c r="P137" s="169"/>
      <c r="S137" s="69"/>
      <c r="U137" s="69"/>
      <c r="X137" s="69"/>
      <c r="Z137" s="69"/>
      <c r="AE137" s="69"/>
      <c r="AG137" s="69"/>
      <c r="AJ137" s="69"/>
      <c r="AL137" s="69"/>
      <c r="AQ137" s="69"/>
      <c r="AS137" s="69"/>
      <c r="AV137" s="69"/>
      <c r="AX137" s="69"/>
      <c r="BC137" s="147"/>
      <c r="BD137" s="147"/>
    </row>
    <row r="138" spans="7:56" s="134" customFormat="1" ht="13.15" customHeight="1" x14ac:dyDescent="0.25">
      <c r="G138" s="146"/>
      <c r="M138" s="167"/>
      <c r="N138" s="167"/>
      <c r="O138" s="167"/>
      <c r="P138" s="169"/>
      <c r="S138" s="69"/>
      <c r="U138" s="69"/>
      <c r="X138" s="69"/>
      <c r="Z138" s="69"/>
      <c r="AE138" s="69"/>
      <c r="AG138" s="69"/>
      <c r="AJ138" s="69"/>
      <c r="AL138" s="69"/>
      <c r="AQ138" s="69"/>
      <c r="AS138" s="69"/>
      <c r="AV138" s="69"/>
      <c r="AX138" s="69"/>
      <c r="BC138" s="147"/>
      <c r="BD138" s="147"/>
    </row>
    <row r="139" spans="7:56" s="134" customFormat="1" ht="13.15" customHeight="1" x14ac:dyDescent="0.25">
      <c r="G139" s="146"/>
      <c r="M139" s="167"/>
      <c r="N139" s="167"/>
      <c r="O139" s="167"/>
      <c r="P139" s="169"/>
      <c r="S139" s="69"/>
      <c r="U139" s="69"/>
      <c r="X139" s="69"/>
      <c r="Z139" s="69"/>
      <c r="AE139" s="69"/>
      <c r="AG139" s="69"/>
      <c r="AJ139" s="69"/>
      <c r="AL139" s="69"/>
      <c r="AQ139" s="69"/>
      <c r="AS139" s="69"/>
      <c r="AV139" s="69"/>
      <c r="AX139" s="69"/>
      <c r="BC139" s="147"/>
      <c r="BD139" s="147"/>
    </row>
    <row r="140" spans="7:56" s="62" customFormat="1" x14ac:dyDescent="0.2">
      <c r="G140" s="71"/>
      <c r="M140" s="161"/>
      <c r="N140" s="161"/>
      <c r="O140" s="161"/>
      <c r="P140" s="105"/>
      <c r="BC140" s="145"/>
      <c r="BD140" s="145"/>
    </row>
    <row r="141" spans="7:56" s="62" customFormat="1" x14ac:dyDescent="0.2">
      <c r="G141" s="71"/>
      <c r="M141" s="161"/>
      <c r="N141" s="161"/>
      <c r="O141" s="161"/>
      <c r="P141" s="105"/>
      <c r="BC141" s="145"/>
      <c r="BD141" s="145"/>
    </row>
    <row r="142" spans="7:56" s="62" customFormat="1" x14ac:dyDescent="0.2">
      <c r="G142" s="71"/>
      <c r="M142" s="161"/>
      <c r="N142" s="161"/>
      <c r="O142" s="161"/>
      <c r="P142" s="105"/>
      <c r="BC142" s="145"/>
      <c r="BD142" s="145"/>
    </row>
    <row r="143" spans="7:56" s="62" customFormat="1" x14ac:dyDescent="0.2">
      <c r="G143" s="71"/>
      <c r="M143" s="161"/>
      <c r="N143" s="161"/>
      <c r="O143" s="161"/>
      <c r="P143" s="105"/>
      <c r="BC143" s="145"/>
      <c r="BD143" s="145"/>
    </row>
    <row r="144" spans="7:56" s="135" customFormat="1" ht="15.75" x14ac:dyDescent="0.25">
      <c r="G144" s="71"/>
      <c r="M144" s="166"/>
      <c r="N144" s="166"/>
      <c r="O144" s="166"/>
      <c r="P144" s="170"/>
      <c r="S144" s="62"/>
      <c r="U144" s="62"/>
      <c r="X144" s="62"/>
      <c r="Z144" s="62"/>
      <c r="AE144" s="62"/>
      <c r="AG144" s="62"/>
      <c r="AJ144" s="62"/>
      <c r="AL144" s="62"/>
      <c r="AQ144" s="62"/>
      <c r="AS144" s="62"/>
      <c r="AV144" s="62"/>
      <c r="AX144" s="62"/>
      <c r="BC144" s="145"/>
      <c r="BD144" s="145"/>
    </row>
    <row r="145" spans="7:56" s="62" customFormat="1" x14ac:dyDescent="0.2">
      <c r="G145" s="71"/>
      <c r="M145" s="161"/>
      <c r="N145" s="161"/>
      <c r="O145" s="161"/>
      <c r="P145" s="105"/>
      <c r="BC145" s="145"/>
      <c r="BD145" s="145"/>
    </row>
    <row r="146" spans="7:56" s="62" customFormat="1" x14ac:dyDescent="0.2">
      <c r="G146" s="71"/>
      <c r="M146" s="161"/>
      <c r="N146" s="161"/>
      <c r="O146" s="161"/>
      <c r="P146" s="105"/>
      <c r="BC146" s="145"/>
      <c r="BD146" s="145"/>
    </row>
  </sheetData>
  <mergeCells count="35">
    <mergeCell ref="A1:F1"/>
    <mergeCell ref="A2:F2"/>
    <mergeCell ref="A4:C9"/>
    <mergeCell ref="H5:BF5"/>
    <mergeCell ref="BO10:BQ10"/>
    <mergeCell ref="I8:K8"/>
    <mergeCell ref="S8:T8"/>
    <mergeCell ref="U8:V8"/>
    <mergeCell ref="W8:W9"/>
    <mergeCell ref="AB8:AB9"/>
    <mergeCell ref="AE6:AN6"/>
    <mergeCell ref="X8:Y8"/>
    <mergeCell ref="Z8:AA8"/>
    <mergeCell ref="S7:W7"/>
    <mergeCell ref="AG8:AH8"/>
    <mergeCell ref="AI8:AI9"/>
    <mergeCell ref="AJ8:AK8"/>
    <mergeCell ref="AL8:AM8"/>
    <mergeCell ref="AN8:AN9"/>
    <mergeCell ref="M8:N8"/>
    <mergeCell ref="O8:P8"/>
    <mergeCell ref="AQ6:AZ6"/>
    <mergeCell ref="AQ7:AU7"/>
    <mergeCell ref="AV7:AZ7"/>
    <mergeCell ref="AQ8:AR8"/>
    <mergeCell ref="AS8:AT8"/>
    <mergeCell ref="AU8:AU9"/>
    <mergeCell ref="AV8:AW8"/>
    <mergeCell ref="AX8:AY8"/>
    <mergeCell ref="AZ8:AZ9"/>
    <mergeCell ref="X7:AB7"/>
    <mergeCell ref="S6:AB6"/>
    <mergeCell ref="AE7:AI7"/>
    <mergeCell ref="AJ7:AN7"/>
    <mergeCell ref="AE8:AF8"/>
  </mergeCells>
  <pageMargins left="1" right="0.75" top="1" bottom="1" header="0.5" footer="0.5"/>
  <pageSetup paperSize="5" scale="52" fitToHeight="0" orientation="portrait" horizontalDpi="300" verticalDpi="300" r:id="rId1"/>
  <headerFooter alignWithMargins="0"/>
  <colBreaks count="1" manualBreakCount="1">
    <brk id="6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 by mun 315 final</vt:lpstr>
      <vt:lpstr>REVISED INBRED 4 print</vt:lpstr>
      <vt:lpstr>REVISED INBRED HYBRID</vt:lpstr>
      <vt:lpstr>'REVISED INBRED 4 print'!Print_Area</vt:lpstr>
      <vt:lpstr>'REVISED INBRED HYBRID'!Print_Area</vt:lpstr>
      <vt:lpstr>'Summary by mun 315 final'!Print_Area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BOHOL APC</dc:creator>
  <cp:lastModifiedBy>BOHOL APC</cp:lastModifiedBy>
  <cp:lastPrinted>2016-11-18T01:20:22Z</cp:lastPrinted>
  <dcterms:created xsi:type="dcterms:W3CDTF">2016-10-26T07:44:30Z</dcterms:created>
  <dcterms:modified xsi:type="dcterms:W3CDTF">2016-11-22T09:50:47Z</dcterms:modified>
</cp:coreProperties>
</file>